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datastore-a\erd$\ERD_ADMINISTRATION\1830-Wathugala\Monthly Belletin\2026\Jan to Apr 2026\"/>
    </mc:Choice>
  </mc:AlternateContent>
  <xr:revisionPtr revIDLastSave="0" documentId="13_ncr:1_{5B3B41EB-397B-4A2B-AFD6-5CAA5ED99E0F}" xr6:coauthVersionLast="47" xr6:coauthVersionMax="47" xr10:uidLastSave="{00000000-0000-0000-0000-000000000000}"/>
  <bookViews>
    <workbookView xWindow="-120" yWindow="-120" windowWidth="29040" windowHeight="15720" tabRatio="784" xr2:uid="{11A8C88E-37EC-4EF5-952E-56129B0852DB}"/>
  </bookViews>
  <sheets>
    <sheet name="Contents" sheetId="59" r:id="rId1"/>
    <sheet name="Table 29" sheetId="150" r:id="rId2"/>
    <sheet name="Table 30" sheetId="127" r:id="rId3"/>
    <sheet name="TABLE 31" sheetId="129" r:id="rId4"/>
    <sheet name="TABLE 32" sheetId="131" r:id="rId5"/>
    <sheet name="TABLE 33" sheetId="132" r:id="rId6"/>
    <sheet name="TABLE 34" sheetId="134" r:id="rId7"/>
    <sheet name="TABLE 35" sheetId="135" r:id="rId8"/>
    <sheet name="TABLE 36" sheetId="137" r:id="rId9"/>
    <sheet name="TABLE 37" sheetId="139" r:id="rId10"/>
    <sheet name="TABLE 38" sheetId="141" r:id="rId11"/>
    <sheet name="TABLE 39" sheetId="143" r:id="rId12"/>
    <sheet name="TABLE 40" sheetId="144" r:id="rId13"/>
    <sheet name="TABLE 41" sheetId="145" r:id="rId14"/>
    <sheet name="TABLE 42" sheetId="146" r:id="rId15"/>
    <sheet name="TABLE 43" sheetId="147" r:id="rId16"/>
    <sheet name="TABLE 44 " sheetId="148" r:id="rId17"/>
    <sheet name="TABLE 45" sheetId="149" r:id="rId18"/>
    <sheet name="TABLE 46" sheetId="151" r:id="rId19"/>
    <sheet name="TABLE 46(Cont.)" sheetId="152" r:id="rId20"/>
    <sheet name="TABLE 47" sheetId="153" r:id="rId21"/>
    <sheet name="TABLE 48" sheetId="154" r:id="rId22"/>
    <sheet name="TABLE 49" sheetId="155" r:id="rId23"/>
    <sheet name="TABLE 50" sheetId="156" r:id="rId24"/>
  </sheets>
  <externalReferences>
    <externalReference r:id="rId25"/>
    <externalReference r:id="rId26"/>
    <externalReference r:id="rId27"/>
    <externalReference r:id="rId28"/>
    <externalReference r:id="rId29"/>
    <externalReference r:id="rId30"/>
    <externalReference r:id="rId31"/>
    <externalReference r:id="rId32"/>
  </externalReferences>
  <definedNames>
    <definedName name="__BAS1" localSheetId="18">[1]A!#REF!</definedName>
    <definedName name="__BAS1" localSheetId="19">[1]A!#REF!</definedName>
    <definedName name="__BAS1" localSheetId="20">[1]A!#REF!</definedName>
    <definedName name="__BAS1" localSheetId="21">[6]A!#REF!</definedName>
    <definedName name="__BAS1" localSheetId="22">[6]A!#REF!</definedName>
    <definedName name="__BAS1" localSheetId="23">[6]A!#REF!</definedName>
    <definedName name="__BAS1">[1]A!#REF!</definedName>
    <definedName name="__TAB1" localSheetId="18">[1]A!#REF!</definedName>
    <definedName name="__TAB1" localSheetId="19">[1]A!#REF!</definedName>
    <definedName name="__TAB1" localSheetId="20">[1]A!#REF!</definedName>
    <definedName name="__TAB1" localSheetId="21">[6]A!#REF!</definedName>
    <definedName name="__TAB1" localSheetId="22">[6]A!#REF!</definedName>
    <definedName name="__TAB1" localSheetId="23">[6]A!#REF!</definedName>
    <definedName name="__TAB1">[1]A!#REF!</definedName>
    <definedName name="__TAB2">[1]A!$B$6:$H$113</definedName>
    <definedName name="_1__123Graph_ACHART_11" hidden="1">[1]A!$D$60:$D$119</definedName>
    <definedName name="_10__123Graph_DCHART_13" localSheetId="18" hidden="1">[1]A!#REF!</definedName>
    <definedName name="_10__123Graph_DCHART_13" localSheetId="19" hidden="1">[1]A!#REF!</definedName>
    <definedName name="_10__123Graph_DCHART_13" localSheetId="20" hidden="1">[1]A!#REF!</definedName>
    <definedName name="_10__123Graph_DCHART_13" hidden="1">[1]A!#REF!</definedName>
    <definedName name="_11__123Graph_XCHART_11" hidden="1">[1]A!$B$60:$B$119</definedName>
    <definedName name="_12__123Graph_XCHART_12" hidden="1">[1]A!$B$60:$B$119</definedName>
    <definedName name="_13__123Graph_XCHART_13" localSheetId="18" hidden="1">[1]A!#REF!</definedName>
    <definedName name="_13__123Graph_XCHART_13" localSheetId="19" hidden="1">[1]A!#REF!</definedName>
    <definedName name="_13__123Graph_XCHART_13" localSheetId="20" hidden="1">[1]A!#REF!</definedName>
    <definedName name="_13__123Graph_XCHART_13" hidden="1">[1]A!#REF!</definedName>
    <definedName name="_14__123Graph_XCHART_14" localSheetId="18" hidden="1">[1]A!#REF!</definedName>
    <definedName name="_14__123Graph_XCHART_14" localSheetId="19" hidden="1">[1]A!#REF!</definedName>
    <definedName name="_14__123Graph_XCHART_14" localSheetId="20" hidden="1">[1]A!#REF!</definedName>
    <definedName name="_14__123Graph_XCHART_14" hidden="1">[1]A!#REF!</definedName>
    <definedName name="_15__123Graph_XCHART_4" localSheetId="18" hidden="1">[1]A!#REF!</definedName>
    <definedName name="_15__123Graph_XCHART_4" localSheetId="19" hidden="1">[1]A!#REF!</definedName>
    <definedName name="_15__123Graph_XCHART_4" localSheetId="20" hidden="1">[1]A!#REF!</definedName>
    <definedName name="_15__123Graph_XCHART_4" hidden="1">[1]A!#REF!</definedName>
    <definedName name="_2__123Graph_ACHART_12" hidden="1">[1]A!$E$60:$E$119</definedName>
    <definedName name="_3__123Graph_ACHART_14" localSheetId="18" hidden="1">[1]A!#REF!</definedName>
    <definedName name="_3__123Graph_ACHART_14" localSheetId="19" hidden="1">[1]A!#REF!</definedName>
    <definedName name="_3__123Graph_ACHART_14" localSheetId="20" hidden="1">[1]A!#REF!</definedName>
    <definedName name="_3__123Graph_ACHART_14" hidden="1">[1]A!#REF!</definedName>
    <definedName name="_4__123Graph_ACHART_4" localSheetId="18" hidden="1">[1]A!#REF!</definedName>
    <definedName name="_4__123Graph_ACHART_4" localSheetId="19" hidden="1">[1]A!#REF!</definedName>
    <definedName name="_4__123Graph_ACHART_4" localSheetId="20" hidden="1">[1]A!#REF!</definedName>
    <definedName name="_4__123Graph_ACHART_4" hidden="1">[1]A!#REF!</definedName>
    <definedName name="_5__123Graph_BCHART_11" hidden="1">[1]A!$C$60:$C$119</definedName>
    <definedName name="_6__123Graph_BCHART_12" hidden="1">[1]A!$F$60:$F$119</definedName>
    <definedName name="_7__123Graph_BCHART_13" localSheetId="18" hidden="1">[1]A!#REF!</definedName>
    <definedName name="_7__123Graph_BCHART_13" localSheetId="19" hidden="1">[1]A!#REF!</definedName>
    <definedName name="_7__123Graph_BCHART_13" localSheetId="20" hidden="1">[1]A!#REF!</definedName>
    <definedName name="_7__123Graph_BCHART_13" hidden="1">[1]A!#REF!</definedName>
    <definedName name="_8__123Graph_BCHART_4" localSheetId="18" hidden="1">[1]A!#REF!</definedName>
    <definedName name="_8__123Graph_BCHART_4" localSheetId="19" hidden="1">[1]A!#REF!</definedName>
    <definedName name="_8__123Graph_BCHART_4" localSheetId="20" hidden="1">[1]A!#REF!</definedName>
    <definedName name="_8__123Graph_BCHART_4" hidden="1">[1]A!#REF!</definedName>
    <definedName name="_9__123Graph_CCHART_14" localSheetId="18" hidden="1">[1]A!#REF!</definedName>
    <definedName name="_9__123Graph_CCHART_14" localSheetId="19" hidden="1">[1]A!#REF!</definedName>
    <definedName name="_9__123Graph_CCHART_14" localSheetId="20" hidden="1">[1]A!#REF!</definedName>
    <definedName name="_9__123Graph_CCHART_14" hidden="1">[1]A!#REF!</definedName>
    <definedName name="_BAS1" localSheetId="18">[1]A!#REF!</definedName>
    <definedName name="_BAS1" localSheetId="19">[1]A!#REF!</definedName>
    <definedName name="_BAS1" localSheetId="20">[1]A!#REF!</definedName>
    <definedName name="_BAS1">[1]A!#REF!</definedName>
    <definedName name="_S">#REF!</definedName>
    <definedName name="_TAB1" localSheetId="18">[1]A!#REF!</definedName>
    <definedName name="_TAB1" localSheetId="19">[1]A!#REF!</definedName>
    <definedName name="_TAB1" localSheetId="20">[1]A!#REF!</definedName>
    <definedName name="_TAB1">[1]A!#REF!</definedName>
    <definedName name="_TAB2">[1]A!$B$6:$H$113</definedName>
    <definedName name="a12l75">[2]R_Annual!$A$3:$N$58</definedName>
    <definedName name="aa" localSheetId="18">#REF!</definedName>
    <definedName name="aa" localSheetId="19">#REF!</definedName>
    <definedName name="aa" localSheetId="20">#REF!</definedName>
    <definedName name="aa">#REF!</definedName>
    <definedName name="aaaaaa" localSheetId="18">#REF!</definedName>
    <definedName name="aaaaaa" localSheetId="19">#REF!</definedName>
    <definedName name="aaaaaa" localSheetId="20">#REF!</definedName>
    <definedName name="aaaaaa">#REF!</definedName>
    <definedName name="ad" localSheetId="18">#REF!</definedName>
    <definedName name="ad" localSheetId="19">#REF!</definedName>
    <definedName name="ad" localSheetId="20">#REF!</definedName>
    <definedName name="ad">#REF!</definedName>
    <definedName name="asd" localSheetId="18">#REF!</definedName>
    <definedName name="asd" localSheetId="19">#REF!</definedName>
    <definedName name="asd" localSheetId="20">#REF!</definedName>
    <definedName name="asd">#REF!</definedName>
    <definedName name="ass" localSheetId="18">#REF!</definedName>
    <definedName name="ass" localSheetId="19">#REF!</definedName>
    <definedName name="ass" localSheetId="20">#REF!</definedName>
    <definedName name="ass">#REF!</definedName>
    <definedName name="bb" localSheetId="18">#REF!</definedName>
    <definedName name="bb" localSheetId="19">#REF!</definedName>
    <definedName name="bb" localSheetId="20">#REF!</definedName>
    <definedName name="bb">#REF!</definedName>
    <definedName name="BQ1662\">#REF!</definedName>
    <definedName name="dsd" hidden="1">[1]A!#REF!</definedName>
    <definedName name="eeee" localSheetId="18" hidden="1">[1]A!#REF!</definedName>
    <definedName name="eeee" localSheetId="19" hidden="1">[1]A!#REF!</definedName>
    <definedName name="eeee" localSheetId="20" hidden="1">[1]A!#REF!</definedName>
    <definedName name="eeee" hidden="1">[1]A!#REF!</definedName>
    <definedName name="escel\">#REF!</definedName>
    <definedName name="Excel_BuiltIn_Print_Area_1">#REF!</definedName>
    <definedName name="Excel_BuiltIn_Print_Area_1_1">#REF!</definedName>
    <definedName name="Excel_BuiltIn_Print_Area_10_1">#REF!</definedName>
    <definedName name="Excel_BuiltIn_Print_Area_2_1">#REF!</definedName>
    <definedName name="Excel_BuiltIn_Print_Area_3_1">#REF!</definedName>
    <definedName name="Excel_BuiltIn_Print_Area_4_1">#REF!</definedName>
    <definedName name="Excel_BuiltIn_Print_Area_6_1">#REF!</definedName>
    <definedName name="Excel_BuiltIn_Print_Area_6_1_1">#REF!</definedName>
    <definedName name="Excel_BuiltIn_Print_Area_7_1">#REF!</definedName>
    <definedName name="Excel_BuiltIn_Print_Area_7_1_1">#REF!</definedName>
    <definedName name="ExR">OFFSET([3]Assumption!$A$2,0,0,COUNTA([3]Assumption!$A$1:$A$65536),4)</definedName>
    <definedName name="fffffffffffffffffffffff" localSheetId="18">#REF!</definedName>
    <definedName name="fffffffffffffffffffffff" localSheetId="19">#REF!</definedName>
    <definedName name="fffffffffffffffffffffff" localSheetId="20">#REF!</definedName>
    <definedName name="fffffffffffffffffffffff">#REF!</definedName>
    <definedName name="ffgfgg" localSheetId="18">[1]A!#REF!</definedName>
    <definedName name="ffgfgg" localSheetId="19">[1]A!#REF!</definedName>
    <definedName name="ffgfgg" localSheetId="20">[1]A!#REF!</definedName>
    <definedName name="ffgfgg">[1]A!#REF!</definedName>
    <definedName name="G1_">#N/A</definedName>
    <definedName name="gfgsdf">'[4]25'!$B$2:$U$24</definedName>
    <definedName name="ggggg" localSheetId="18">#REF!</definedName>
    <definedName name="ggggg" localSheetId="19">#REF!</definedName>
    <definedName name="ggggg" localSheetId="20">#REF!</definedName>
    <definedName name="ggggg">#REF!</definedName>
    <definedName name="ghgj" localSheetId="18">#REF!</definedName>
    <definedName name="ghgj" localSheetId="19">#REF!</definedName>
    <definedName name="ghgj" localSheetId="20">#REF!</definedName>
    <definedName name="ghgj">#REF!</definedName>
    <definedName name="hhhhh" localSheetId="18">#REF!</definedName>
    <definedName name="hhhhh" localSheetId="19">#REF!</definedName>
    <definedName name="hhhhh" localSheetId="20">#REF!</definedName>
    <definedName name="hhhhh">#REF!</definedName>
    <definedName name="iiii" localSheetId="18" hidden="1">[1]A!#REF!</definedName>
    <definedName name="iiii" localSheetId="19" hidden="1">[1]A!#REF!</definedName>
    <definedName name="iiii" localSheetId="20" hidden="1">[1]A!#REF!</definedName>
    <definedName name="iiii" hidden="1">[1]A!#REF!</definedName>
    <definedName name="lllll" localSheetId="18" hidden="1">[1]A!#REF!</definedName>
    <definedName name="lllll" localSheetId="19" hidden="1">[1]A!#REF!</definedName>
    <definedName name="lllll" localSheetId="20" hidden="1">[1]A!#REF!</definedName>
    <definedName name="lllll" hidden="1">[1]A!#REF!</definedName>
    <definedName name="mmmm" localSheetId="18">#REF!</definedName>
    <definedName name="mmmm" localSheetId="19">#REF!</definedName>
    <definedName name="mmmm" localSheetId="20">#REF!</definedName>
    <definedName name="mmmm">#REF!</definedName>
    <definedName name="n_a12l75">[2]Annual!$A$2:$P$58</definedName>
    <definedName name="Notes" localSheetId="18">#REF!</definedName>
    <definedName name="Notes" localSheetId="19">#REF!</definedName>
    <definedName name="Notes" localSheetId="20">#REF!</definedName>
    <definedName name="Notes">#REF!</definedName>
    <definedName name="Notes2" localSheetId="18">#REF!</definedName>
    <definedName name="Notes2" localSheetId="19">#REF!</definedName>
    <definedName name="Notes2" localSheetId="20">#REF!</definedName>
    <definedName name="Notes2">#REF!</definedName>
    <definedName name="nwa12l75">[2]Annual!$A$2:$P$58</definedName>
    <definedName name="old">'[4]31'!$B$2:$N$76</definedName>
    <definedName name="old_23">'[4]24'!$B$1:$V$24</definedName>
    <definedName name="_xlnm.Print_Area" localSheetId="3">'TABLE 31'!$A$1:$M$119</definedName>
    <definedName name="_xlnm.Print_Area" localSheetId="5">'TABLE 33'!$A$1:$I$122</definedName>
    <definedName name="_xlnm.Print_Area" localSheetId="6">'TABLE 34'!$A$1:$P$121</definedName>
    <definedName name="_xlnm.Print_Area" localSheetId="10">'TABLE 38'!$A$1:$M$119</definedName>
    <definedName name="_xlnm.Print_Area" localSheetId="11">'TABLE 39'!#REF!</definedName>
    <definedName name="_xlnm.Print_Area" localSheetId="18">'TABLE 46'!$B$1:$CU$87</definedName>
    <definedName name="_xlnm.Print_Area" localSheetId="19">'TABLE 46(Cont.)'!$B$5:$BP$122</definedName>
    <definedName name="_xlnm.Print_Area" localSheetId="20">'TABLE 47'!$B$4:$P$89</definedName>
    <definedName name="_xlnm.Print_Area" localSheetId="21">'TABLE 48'!$A$2:$K$195</definedName>
    <definedName name="_xlnm.Print_Area" localSheetId="22">'TABLE 49'!$A$2:$J$293</definedName>
    <definedName name="_xlnm.Print_Area" localSheetId="23">'TABLE 50'!$B$1:$H$107</definedName>
    <definedName name="_xlnm.Print_Area">#REF!</definedName>
    <definedName name="Print_Area_MI">#REF!</definedName>
    <definedName name="_xlnm.Print_Titles" localSheetId="19">'TABLE 46(Cont.)'!$5:$6</definedName>
    <definedName name="_xlnm.Print_Titles" localSheetId="20">'TABLE 47'!$9:$10</definedName>
    <definedName name="Range_Columns" localSheetId="18">#REF!</definedName>
    <definedName name="Range_Columns" localSheetId="19">#REF!</definedName>
    <definedName name="Range_Columns" localSheetId="20">#REF!</definedName>
    <definedName name="Range_Columns">#REF!</definedName>
    <definedName name="Range_Country" localSheetId="18">#REF!</definedName>
    <definedName name="Range_Country" localSheetId="19">#REF!</definedName>
    <definedName name="Range_Country" localSheetId="20">#REF!</definedName>
    <definedName name="Range_Country">#REF!</definedName>
    <definedName name="Range_DownloadAnnual" localSheetId="18">#REF!</definedName>
    <definedName name="Range_DownloadAnnual" localSheetId="19">#REF!</definedName>
    <definedName name="Range_DownloadAnnual" localSheetId="20">#REF!</definedName>
    <definedName name="Range_DownloadAnnual">#REF!</definedName>
    <definedName name="Range_DownloadDateTime" localSheetId="18">#REF!</definedName>
    <definedName name="Range_DownloadDateTime" localSheetId="19">#REF!</definedName>
    <definedName name="Range_DownloadDateTime" localSheetId="20">#REF!</definedName>
    <definedName name="Range_DownloadDateTime">#REF!</definedName>
    <definedName name="Range_DownloadMonth" localSheetId="18">#REF!</definedName>
    <definedName name="Range_DownloadMonth" localSheetId="19">#REF!</definedName>
    <definedName name="Range_DownloadMonth" localSheetId="20">#REF!</definedName>
    <definedName name="Range_DownloadMonth">#REF!</definedName>
    <definedName name="Range_DownloadQuarter" localSheetId="18">#REF!</definedName>
    <definedName name="Range_DownloadQuarter" localSheetId="19">#REF!</definedName>
    <definedName name="Range_DownloadQuarter" localSheetId="20">#REF!</definedName>
    <definedName name="Range_DownloadQuarter">#REF!</definedName>
    <definedName name="Range_ReportFormName" localSheetId="18">#REF!</definedName>
    <definedName name="Range_ReportFormName" localSheetId="19">#REF!</definedName>
    <definedName name="Range_ReportFormName" localSheetId="20">#REF!</definedName>
    <definedName name="Range_ReportFormName">#REF!</definedName>
    <definedName name="Range_Rows" localSheetId="18">#REF!</definedName>
    <definedName name="Range_Rows" localSheetId="19">#REF!</definedName>
    <definedName name="Range_Rows" localSheetId="20">#REF!</definedName>
    <definedName name="Range_Rows">#REF!</definedName>
    <definedName name="Range_SheetName" localSheetId="18">#REF!</definedName>
    <definedName name="Range_SheetName" localSheetId="19">#REF!</definedName>
    <definedName name="Range_SheetName" localSheetId="20">#REF!</definedName>
    <definedName name="Range_SheetName">#REF!</definedName>
    <definedName name="Range_TotalDownloadPeriod" localSheetId="18">#REF!</definedName>
    <definedName name="Range_TotalDownloadPeriod" localSheetId="19">#REF!</definedName>
    <definedName name="Range_TotalDownloadPeriod" localSheetId="20">#REF!</definedName>
    <definedName name="Range_TotalDownloadPeriod">#REF!</definedName>
    <definedName name="Range_VersionControl" localSheetId="18">#REF!</definedName>
    <definedName name="Range_VersionControl" localSheetId="19">#REF!</definedName>
    <definedName name="Range_VersionControl" localSheetId="20">#REF!</definedName>
    <definedName name="Range_VersionControl">#REF!</definedName>
    <definedName name="Reporting_CountryCode" localSheetId="18">[8]Control!$B$28</definedName>
    <definedName name="Reporting_CountryCode" localSheetId="19">[8]Control!$B$28</definedName>
    <definedName name="Reporting_CountryCode">[5]Control!$B$28</definedName>
    <definedName name="rrrr" localSheetId="18">#REF!</definedName>
    <definedName name="rrrr" localSheetId="19">#REF!</definedName>
    <definedName name="rrrr" localSheetId="20">#REF!</definedName>
    <definedName name="rrrr">#REF!</definedName>
    <definedName name="rrrrr" localSheetId="18">#REF!</definedName>
    <definedName name="rrrrr" localSheetId="19">#REF!</definedName>
    <definedName name="rrrrr" localSheetId="20">#REF!</definedName>
    <definedName name="rrrrr">#REF!</definedName>
    <definedName name="saccc" localSheetId="18">#REF!</definedName>
    <definedName name="saccc" localSheetId="19">#REF!</definedName>
    <definedName name="saccc" localSheetId="20">#REF!</definedName>
    <definedName name="saccc">#REF!</definedName>
    <definedName name="sdcs" localSheetId="18" hidden="1">[1]A!#REF!</definedName>
    <definedName name="sdcs" localSheetId="19" hidden="1">[1]A!#REF!</definedName>
    <definedName name="sdcs" localSheetId="20" hidden="1">[1]A!#REF!</definedName>
    <definedName name="sdcs" hidden="1">[1]A!#REF!</definedName>
    <definedName name="Services_Account">#REF!</definedName>
    <definedName name="ss" localSheetId="18" hidden="1">[1]A!#REF!</definedName>
    <definedName name="ss" localSheetId="19" hidden="1">[1]A!#REF!</definedName>
    <definedName name="ss" localSheetId="20" hidden="1">[1]A!#REF!</definedName>
    <definedName name="ss" hidden="1">[1]A!#REF!</definedName>
    <definedName name="sss" localSheetId="18">#REF!</definedName>
    <definedName name="sss" localSheetId="19">#REF!</definedName>
    <definedName name="sss" localSheetId="20">#REF!</definedName>
    <definedName name="sss">#REF!</definedName>
    <definedName name="ssss" localSheetId="18">#REF!</definedName>
    <definedName name="ssss" localSheetId="19">#REF!</definedName>
    <definedName name="ssss" localSheetId="20">#REF!</definedName>
    <definedName name="ssss">#REF!</definedName>
    <definedName name="sssss" localSheetId="18" hidden="1">[1]A!#REF!</definedName>
    <definedName name="sssss" localSheetId="19" hidden="1">[1]A!#REF!</definedName>
    <definedName name="sssss" localSheetId="20" hidden="1">[1]A!#REF!</definedName>
    <definedName name="sssss" hidden="1">[1]A!#REF!</definedName>
    <definedName name="TOTUS">#REF!</definedName>
    <definedName name="vb" localSheetId="18">#REF!</definedName>
    <definedName name="vb" localSheetId="19">#REF!</definedName>
    <definedName name="vb" localSheetId="20">#REF!</definedName>
    <definedName name="vb">#REF!</definedName>
    <definedName name="vsvsv" localSheetId="18">#REF!</definedName>
    <definedName name="vsvsv" localSheetId="19">#REF!</definedName>
    <definedName name="vsvsv" localSheetId="20">#REF!</definedName>
    <definedName name="vsvsv">#REF!</definedName>
    <definedName name="vv" localSheetId="18" hidden="1">[1]A!#REF!</definedName>
    <definedName name="vv" localSheetId="19" hidden="1">[1]A!#REF!</definedName>
    <definedName name="vv" localSheetId="20" hidden="1">[1]A!#REF!</definedName>
    <definedName name="vv" hidden="1">[1]A!#REF!</definedName>
    <definedName name="vvfvvvv" localSheetId="18">#REF!</definedName>
    <definedName name="vvfvvvv" localSheetId="19">#REF!</definedName>
    <definedName name="vvfvvvv" localSheetId="20">#REF!</definedName>
    <definedName name="vvfvvvv">#REF!</definedName>
    <definedName name="wwfwfwf" localSheetId="18">#REF!</definedName>
    <definedName name="wwfwfwf" localSheetId="19">#REF!</definedName>
    <definedName name="wwfwfwf" localSheetId="20">#REF!</definedName>
    <definedName name="wwfwfwf">#REF!</definedName>
    <definedName name="www" localSheetId="18">#REF!</definedName>
    <definedName name="www" localSheetId="19">#REF!</definedName>
    <definedName name="www" localSheetId="20">#REF!</definedName>
    <definedName name="ww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3" i="155" l="1"/>
  <c r="G233" i="155"/>
  <c r="F233" i="155"/>
  <c r="E233" i="155"/>
  <c r="D233" i="155"/>
  <c r="C233" i="155"/>
  <c r="H232" i="155"/>
  <c r="G232" i="155"/>
  <c r="F232" i="155"/>
  <c r="E232" i="155"/>
  <c r="D232" i="155"/>
  <c r="C232" i="155"/>
  <c r="H231" i="155"/>
  <c r="G231" i="155"/>
  <c r="F231" i="155"/>
  <c r="E231" i="155"/>
  <c r="D231" i="155"/>
  <c r="C231" i="155"/>
  <c r="H230" i="155"/>
  <c r="G230" i="155"/>
  <c r="F230" i="155"/>
  <c r="E230" i="155"/>
  <c r="D230" i="155"/>
  <c r="C230" i="155"/>
  <c r="H229" i="155"/>
  <c r="G229" i="155"/>
  <c r="F229" i="155"/>
  <c r="E229" i="155"/>
  <c r="D229" i="155"/>
  <c r="C229" i="155"/>
  <c r="H187" i="155"/>
  <c r="G187" i="155"/>
  <c r="F187" i="155"/>
  <c r="E187" i="155"/>
  <c r="D187" i="155"/>
  <c r="C187" i="155"/>
  <c r="H186" i="155"/>
  <c r="G186" i="155"/>
  <c r="F186" i="155"/>
  <c r="H146" i="155"/>
  <c r="G146" i="155"/>
  <c r="F146" i="155"/>
  <c r="E146" i="155"/>
  <c r="D146" i="155"/>
  <c r="C146" i="155"/>
  <c r="H139" i="155"/>
  <c r="G139" i="155"/>
  <c r="F139" i="155"/>
  <c r="E139" i="155"/>
  <c r="D139" i="155"/>
  <c r="C139" i="155"/>
  <c r="H138" i="155"/>
  <c r="G138" i="155"/>
  <c r="F138" i="155"/>
  <c r="E138" i="155"/>
  <c r="D138" i="155"/>
  <c r="C138" i="155"/>
  <c r="H137" i="155"/>
  <c r="G137" i="155"/>
  <c r="F137" i="155"/>
  <c r="E137" i="155"/>
  <c r="D137" i="155"/>
  <c r="C137" i="155"/>
  <c r="H136" i="155"/>
  <c r="G136" i="155"/>
  <c r="F136" i="155"/>
  <c r="E136" i="155"/>
  <c r="D136" i="155"/>
  <c r="C136" i="155"/>
  <c r="H135" i="155"/>
  <c r="G135" i="155"/>
  <c r="F135" i="155"/>
  <c r="E135" i="155"/>
  <c r="D135" i="155"/>
  <c r="C135" i="155"/>
  <c r="H134" i="155"/>
  <c r="G134" i="155"/>
  <c r="F134" i="155"/>
  <c r="E134" i="155"/>
  <c r="D134" i="155"/>
  <c r="C134" i="155"/>
  <c r="H133" i="155"/>
  <c r="G133" i="155"/>
  <c r="F133" i="155"/>
  <c r="E133" i="155"/>
  <c r="D133" i="155"/>
  <c r="C133" i="155"/>
  <c r="H132" i="155"/>
  <c r="G132" i="155"/>
  <c r="F132" i="155"/>
  <c r="E132" i="155"/>
  <c r="D132" i="155"/>
  <c r="C132" i="155"/>
  <c r="H131" i="155"/>
  <c r="G131" i="155"/>
  <c r="F131" i="155"/>
  <c r="E131" i="155"/>
  <c r="D131" i="155"/>
  <c r="C131" i="155"/>
  <c r="H130" i="155"/>
  <c r="E130" i="155"/>
  <c r="D130" i="155"/>
  <c r="C130" i="155"/>
  <c r="H129" i="155"/>
  <c r="G129" i="155"/>
  <c r="F129" i="155"/>
  <c r="E129" i="155"/>
  <c r="D129" i="155"/>
  <c r="C129" i="155"/>
  <c r="H128" i="155"/>
  <c r="G128" i="155"/>
  <c r="F128" i="155"/>
  <c r="E128" i="155"/>
  <c r="D128" i="155"/>
  <c r="C128" i="155"/>
  <c r="H127" i="155"/>
  <c r="G127" i="155"/>
  <c r="F127" i="155"/>
  <c r="E127" i="155"/>
  <c r="D127" i="155"/>
  <c r="C127" i="155"/>
  <c r="H126" i="155"/>
  <c r="G126" i="155"/>
  <c r="F126" i="155"/>
  <c r="E126" i="155"/>
  <c r="D126" i="155"/>
  <c r="C126" i="155"/>
  <c r="H125" i="155"/>
  <c r="G125" i="155"/>
  <c r="F125" i="155"/>
  <c r="E125" i="155"/>
  <c r="D125" i="155"/>
  <c r="C125" i="155"/>
  <c r="H124" i="155"/>
  <c r="G124" i="155"/>
  <c r="F124" i="155"/>
  <c r="E124" i="155"/>
  <c r="D124" i="155"/>
  <c r="C124" i="155"/>
  <c r="H123" i="155"/>
  <c r="G123" i="155"/>
  <c r="F123" i="155"/>
  <c r="E123" i="155"/>
  <c r="D123" i="155"/>
  <c r="C123" i="155"/>
  <c r="H122" i="155"/>
  <c r="G122" i="155"/>
  <c r="F122" i="155"/>
  <c r="E122" i="155"/>
  <c r="D122" i="155"/>
  <c r="C122" i="155"/>
  <c r="H121" i="155"/>
  <c r="G121" i="155"/>
  <c r="F121" i="155"/>
  <c r="E121" i="155"/>
  <c r="D121" i="155"/>
  <c r="C121" i="155"/>
  <c r="H120" i="155"/>
  <c r="G120" i="155"/>
  <c r="F120" i="155"/>
  <c r="E120" i="155"/>
  <c r="D120" i="155"/>
  <c r="C120" i="155"/>
  <c r="H119" i="155"/>
  <c r="G119" i="155"/>
  <c r="F119" i="155"/>
  <c r="E119" i="155"/>
  <c r="D119" i="155"/>
  <c r="C119" i="155"/>
  <c r="H118" i="155"/>
  <c r="G118" i="155"/>
  <c r="F118" i="155"/>
  <c r="E118" i="155"/>
  <c r="D118" i="155"/>
  <c r="C118" i="155"/>
  <c r="H117" i="155"/>
  <c r="G117" i="155"/>
  <c r="F117" i="155"/>
  <c r="E117" i="155"/>
  <c r="D117" i="155"/>
  <c r="C117" i="155"/>
  <c r="H116" i="155"/>
  <c r="G116" i="155"/>
  <c r="F116" i="155"/>
  <c r="E116" i="155"/>
  <c r="D116" i="155"/>
  <c r="C116" i="155"/>
  <c r="H115" i="155"/>
  <c r="G115" i="155"/>
  <c r="F115" i="155"/>
  <c r="E115" i="155"/>
  <c r="D115" i="155"/>
  <c r="C115" i="155"/>
  <c r="H114" i="155"/>
  <c r="G114" i="155"/>
  <c r="F114" i="155"/>
  <c r="E114" i="155"/>
  <c r="D114" i="155"/>
  <c r="C114" i="155"/>
  <c r="H113" i="155"/>
  <c r="G113" i="155"/>
  <c r="F113" i="155"/>
  <c r="E113" i="155"/>
  <c r="D113" i="155"/>
  <c r="C113" i="155"/>
  <c r="H112" i="155"/>
  <c r="G112" i="155"/>
  <c r="F112" i="155"/>
  <c r="E112" i="155"/>
  <c r="D112" i="155"/>
  <c r="C112" i="155"/>
  <c r="H111" i="155"/>
  <c r="G111" i="155"/>
  <c r="F111" i="155"/>
  <c r="E111" i="155"/>
  <c r="D111" i="155"/>
  <c r="C111" i="155"/>
  <c r="H110" i="155"/>
  <c r="G110" i="155"/>
  <c r="F110" i="155"/>
  <c r="E110" i="155"/>
  <c r="D110" i="155"/>
  <c r="C110" i="155"/>
  <c r="H109" i="155"/>
  <c r="G109" i="155"/>
  <c r="F109" i="155"/>
  <c r="E109" i="155"/>
  <c r="D109" i="155"/>
  <c r="C109" i="155"/>
  <c r="H108" i="155"/>
  <c r="G108" i="155"/>
  <c r="F108" i="155"/>
  <c r="E108" i="155"/>
  <c r="D108" i="155"/>
  <c r="C108" i="155"/>
  <c r="H107" i="155"/>
  <c r="G107" i="155"/>
  <c r="F107" i="155"/>
  <c r="E107" i="155"/>
  <c r="D107" i="155"/>
  <c r="C107" i="155"/>
  <c r="H106" i="155"/>
  <c r="G106" i="155"/>
  <c r="F106" i="155"/>
  <c r="E106" i="155"/>
  <c r="D106" i="155"/>
  <c r="C106" i="155"/>
  <c r="H105" i="155"/>
  <c r="G105" i="155"/>
  <c r="F105" i="155"/>
  <c r="E105" i="155"/>
  <c r="D105" i="155"/>
  <c r="C105" i="155"/>
  <c r="H104" i="155"/>
  <c r="G104" i="155"/>
  <c r="F104" i="155"/>
  <c r="E104" i="155"/>
  <c r="D104" i="155"/>
  <c r="C104" i="155"/>
  <c r="H103" i="155"/>
  <c r="G103" i="155"/>
  <c r="F103" i="155"/>
  <c r="E103" i="155"/>
  <c r="D103" i="155"/>
  <c r="C103" i="155"/>
  <c r="H102" i="155"/>
  <c r="G102" i="155"/>
  <c r="F102" i="155"/>
  <c r="E102" i="155"/>
  <c r="D102" i="155"/>
  <c r="C102" i="155"/>
  <c r="H101" i="155"/>
  <c r="G101" i="155"/>
  <c r="F101" i="155"/>
  <c r="E101" i="155"/>
  <c r="D101" i="155"/>
  <c r="C101" i="155"/>
  <c r="H100" i="155"/>
  <c r="G100" i="155"/>
  <c r="F100" i="155"/>
  <c r="E100" i="155"/>
  <c r="D100" i="155"/>
  <c r="C100" i="155"/>
  <c r="H99" i="155"/>
  <c r="G99" i="155"/>
  <c r="F99" i="155"/>
  <c r="E99" i="155"/>
  <c r="D99" i="155"/>
  <c r="C99" i="155"/>
  <c r="H98" i="155"/>
  <c r="G98" i="155"/>
  <c r="F98" i="155"/>
  <c r="E98" i="155"/>
  <c r="D98" i="155"/>
  <c r="C98" i="155"/>
  <c r="H91" i="155"/>
  <c r="G91" i="155"/>
  <c r="F91" i="155"/>
  <c r="E91" i="155"/>
  <c r="D91" i="155"/>
  <c r="C91" i="155"/>
  <c r="H85" i="155"/>
  <c r="G85" i="155"/>
  <c r="F85" i="155"/>
  <c r="E85" i="155"/>
  <c r="D85" i="155"/>
  <c r="C85" i="155"/>
  <c r="H84" i="155"/>
  <c r="G84" i="155"/>
  <c r="F84" i="155"/>
  <c r="E84" i="155"/>
  <c r="D84" i="155"/>
  <c r="C84" i="155"/>
  <c r="H83" i="155"/>
  <c r="G83" i="155"/>
  <c r="F83" i="155"/>
  <c r="E83" i="155"/>
  <c r="D83" i="155"/>
  <c r="C83" i="155"/>
  <c r="H82" i="155"/>
  <c r="G82" i="155"/>
  <c r="F82" i="155"/>
  <c r="E82" i="155"/>
  <c r="D82" i="155"/>
  <c r="C82" i="155"/>
  <c r="H81" i="155"/>
  <c r="G81" i="155"/>
  <c r="F81" i="155"/>
  <c r="E81" i="155"/>
  <c r="D81" i="155"/>
  <c r="C81" i="155"/>
  <c r="H80" i="155"/>
  <c r="G80" i="155"/>
  <c r="F80" i="155"/>
  <c r="E80" i="155"/>
  <c r="D80" i="155"/>
  <c r="C80" i="155"/>
  <c r="H79" i="155"/>
  <c r="G79" i="155"/>
  <c r="F79" i="155"/>
  <c r="E79" i="155"/>
  <c r="D79" i="155"/>
  <c r="C79" i="155"/>
  <c r="H78" i="155"/>
  <c r="G78" i="155"/>
  <c r="F78" i="155"/>
  <c r="E78" i="155"/>
  <c r="D78" i="155"/>
  <c r="C78" i="155"/>
  <c r="H77" i="155"/>
  <c r="G77" i="155"/>
  <c r="F77" i="155"/>
  <c r="E77" i="155"/>
  <c r="D77" i="155"/>
  <c r="C77" i="155"/>
  <c r="H76" i="155"/>
  <c r="G76" i="155"/>
  <c r="F76" i="155"/>
  <c r="E76" i="155"/>
  <c r="D76" i="155"/>
  <c r="C76" i="155"/>
  <c r="H75" i="155"/>
  <c r="G75" i="155"/>
  <c r="F75" i="155"/>
  <c r="E75" i="155"/>
  <c r="D75" i="155"/>
  <c r="C75" i="155"/>
  <c r="H73" i="155"/>
  <c r="G73" i="155"/>
  <c r="F73" i="155"/>
  <c r="E73" i="155"/>
  <c r="D73" i="155"/>
  <c r="C73" i="155"/>
  <c r="H72" i="155"/>
  <c r="G72" i="155"/>
  <c r="F72" i="155"/>
  <c r="E72" i="155"/>
  <c r="D72" i="155"/>
  <c r="C72" i="155"/>
  <c r="H71" i="155"/>
  <c r="G71" i="155"/>
  <c r="F71" i="155"/>
  <c r="E71" i="155"/>
  <c r="D71" i="155"/>
  <c r="C71" i="155"/>
  <c r="H70" i="155"/>
  <c r="G70" i="155"/>
  <c r="F70" i="155"/>
  <c r="E70" i="155"/>
  <c r="D70" i="155"/>
  <c r="C70" i="155"/>
  <c r="H69" i="155"/>
  <c r="G69" i="155"/>
  <c r="F69" i="155"/>
  <c r="E69" i="155"/>
  <c r="D69" i="155"/>
  <c r="C69" i="155"/>
  <c r="H68" i="155"/>
  <c r="G68" i="155"/>
  <c r="F68" i="155"/>
  <c r="E68" i="155"/>
  <c r="D68" i="155"/>
  <c r="C68" i="155"/>
  <c r="H42" i="155"/>
  <c r="G42" i="155"/>
  <c r="F42" i="155"/>
  <c r="E42" i="155"/>
  <c r="D42" i="155"/>
  <c r="C42" i="155"/>
  <c r="H40" i="155"/>
  <c r="G40" i="155"/>
  <c r="F40" i="155"/>
  <c r="E40" i="155"/>
  <c r="D40" i="155"/>
  <c r="C40" i="155"/>
  <c r="H39" i="155"/>
  <c r="G39" i="155"/>
  <c r="F39" i="155"/>
  <c r="E39" i="155"/>
  <c r="D39" i="155"/>
  <c r="C39" i="155"/>
  <c r="H38" i="155"/>
  <c r="G38" i="155"/>
  <c r="F38" i="155"/>
  <c r="E38" i="155"/>
  <c r="D38" i="155"/>
  <c r="C38" i="155"/>
  <c r="H37" i="155"/>
  <c r="G37" i="155"/>
  <c r="F37" i="155"/>
  <c r="E37" i="155"/>
  <c r="D37" i="155"/>
  <c r="C37" i="155"/>
  <c r="H36" i="155"/>
  <c r="G36" i="155"/>
  <c r="F36" i="155"/>
  <c r="E36" i="155"/>
  <c r="D36" i="155"/>
  <c r="C36" i="155"/>
  <c r="J35" i="155"/>
  <c r="I35" i="155"/>
  <c r="H35" i="155"/>
  <c r="G35" i="155"/>
  <c r="F35" i="155"/>
  <c r="E35" i="155"/>
  <c r="D35" i="155"/>
  <c r="C35" i="155"/>
  <c r="J34" i="155"/>
  <c r="I34" i="155"/>
  <c r="H34" i="155"/>
  <c r="G34" i="155"/>
  <c r="F34" i="155"/>
  <c r="E34" i="155"/>
  <c r="D34" i="155"/>
  <c r="C34" i="155"/>
  <c r="J33" i="155"/>
  <c r="I33" i="155"/>
  <c r="H33" i="155"/>
  <c r="G33" i="155"/>
  <c r="F33" i="155"/>
  <c r="E33" i="155"/>
  <c r="D33" i="155"/>
  <c r="C33" i="155"/>
  <c r="J32" i="155"/>
  <c r="I32" i="155"/>
  <c r="H32" i="155"/>
  <c r="G32" i="155"/>
  <c r="F32" i="155"/>
  <c r="E32" i="155"/>
  <c r="D32" i="155"/>
  <c r="C32" i="155"/>
  <c r="J31" i="155"/>
  <c r="I31" i="155"/>
  <c r="H31" i="155"/>
  <c r="G31" i="155"/>
  <c r="F31" i="155"/>
  <c r="E31" i="155"/>
  <c r="D31" i="155"/>
  <c r="C31" i="155"/>
  <c r="J30" i="155"/>
  <c r="I30" i="155"/>
  <c r="H30" i="155"/>
  <c r="G30" i="155"/>
  <c r="F30" i="155"/>
  <c r="E30" i="155"/>
  <c r="D30" i="155"/>
  <c r="C30" i="155"/>
  <c r="J29" i="155"/>
  <c r="I29" i="155"/>
  <c r="H29" i="155"/>
  <c r="G29" i="155"/>
  <c r="F29" i="155"/>
  <c r="E29" i="155"/>
  <c r="D29" i="155"/>
  <c r="C29" i="155"/>
  <c r="J28" i="155"/>
  <c r="I28" i="155"/>
  <c r="H28" i="155"/>
  <c r="G28" i="155"/>
  <c r="F28" i="155"/>
  <c r="E28" i="155"/>
  <c r="D28" i="155"/>
  <c r="C28" i="155"/>
  <c r="H27" i="155"/>
  <c r="G27" i="155"/>
  <c r="F27" i="155"/>
  <c r="E27" i="155"/>
  <c r="D27" i="155"/>
  <c r="C27" i="155"/>
  <c r="H26" i="155"/>
  <c r="G26" i="155"/>
  <c r="F26" i="155"/>
  <c r="E26" i="155"/>
  <c r="D26" i="155"/>
  <c r="C26" i="155"/>
  <c r="H25" i="155"/>
  <c r="G25" i="155"/>
  <c r="F25" i="155"/>
  <c r="E25" i="155"/>
  <c r="D25" i="155"/>
  <c r="C25" i="155"/>
  <c r="H24" i="155"/>
  <c r="G24" i="155"/>
  <c r="F24" i="155"/>
  <c r="E24" i="155"/>
  <c r="D24" i="155"/>
  <c r="C24" i="155"/>
  <c r="H21" i="155"/>
  <c r="G21" i="155"/>
  <c r="F21" i="155"/>
  <c r="E21" i="155"/>
  <c r="D21" i="155"/>
  <c r="C21" i="155"/>
  <c r="H18" i="155"/>
  <c r="G18" i="155"/>
  <c r="F18" i="155"/>
  <c r="E18" i="155"/>
  <c r="D18" i="155"/>
  <c r="C18" i="155"/>
  <c r="H10" i="155"/>
  <c r="G10" i="155"/>
  <c r="F10" i="155"/>
  <c r="E10" i="155"/>
  <c r="D10" i="155"/>
  <c r="C10" i="155"/>
  <c r="H9" i="155"/>
  <c r="G9" i="155"/>
  <c r="F9" i="155"/>
  <c r="E9" i="155"/>
  <c r="D9" i="155"/>
  <c r="C9" i="155"/>
  <c r="J192" i="154"/>
  <c r="K191" i="154"/>
  <c r="J191" i="154"/>
  <c r="K190" i="154"/>
  <c r="J190" i="154"/>
  <c r="K189" i="154"/>
  <c r="J189" i="154"/>
  <c r="K188" i="154"/>
  <c r="J188" i="154"/>
  <c r="K187" i="154"/>
  <c r="J187" i="154"/>
  <c r="K186" i="154"/>
  <c r="J186" i="154"/>
  <c r="K185" i="154"/>
  <c r="J185" i="154"/>
  <c r="K184" i="154"/>
  <c r="J184" i="154"/>
  <c r="K183" i="154"/>
  <c r="J183" i="154"/>
  <c r="I67" i="154"/>
  <c r="H67" i="154"/>
  <c r="K67" i="154" s="1"/>
  <c r="G67" i="154"/>
  <c r="F67" i="154"/>
  <c r="E67" i="154"/>
  <c r="J67" i="154" s="1"/>
  <c r="D67" i="154"/>
  <c r="C67" i="154"/>
  <c r="K66" i="154"/>
  <c r="J66" i="154"/>
  <c r="K65" i="154"/>
  <c r="J65" i="154"/>
  <c r="D64" i="154"/>
  <c r="C64" i="154"/>
  <c r="D63" i="154"/>
  <c r="C63" i="154"/>
  <c r="D62" i="154"/>
  <c r="C62" i="154"/>
  <c r="D61" i="154"/>
  <c r="C61" i="154"/>
  <c r="D60" i="154"/>
  <c r="C60" i="154"/>
  <c r="D59" i="154"/>
  <c r="C59" i="154"/>
  <c r="D58" i="154"/>
  <c r="C58" i="154"/>
  <c r="D57" i="154"/>
  <c r="C57" i="154"/>
  <c r="D56" i="154"/>
  <c r="C56" i="154"/>
  <c r="D55" i="154"/>
  <c r="C55" i="154"/>
  <c r="D54" i="154"/>
  <c r="C54" i="154"/>
  <c r="D53" i="154"/>
  <c r="C53" i="154"/>
  <c r="D52" i="154"/>
  <c r="C52" i="154"/>
  <c r="D51" i="154"/>
  <c r="C51" i="154"/>
  <c r="D48" i="154"/>
  <c r="C48" i="154"/>
  <c r="D47" i="154"/>
  <c r="C47" i="154"/>
  <c r="K21" i="154"/>
  <c r="G20" i="154"/>
  <c r="E20" i="154"/>
  <c r="J21" i="154" s="1"/>
  <c r="D20" i="154"/>
  <c r="C20" i="154"/>
  <c r="G19" i="154"/>
  <c r="F19" i="154"/>
  <c r="E19" i="154"/>
  <c r="D19" i="154"/>
  <c r="C19" i="154"/>
  <c r="G18" i="154"/>
  <c r="F18" i="154"/>
  <c r="E18" i="154"/>
  <c r="D18" i="154"/>
  <c r="C18" i="154"/>
  <c r="C99" i="149"/>
  <c r="B99" i="149"/>
  <c r="H99" i="149"/>
  <c r="I33" i="149"/>
  <c r="D32" i="149"/>
  <c r="E32" i="149"/>
  <c r="F32" i="149"/>
  <c r="G32" i="149"/>
  <c r="I32" i="149"/>
  <c r="D33" i="149"/>
  <c r="E33" i="149"/>
  <c r="F33" i="149"/>
  <c r="G33" i="149"/>
  <c r="D34" i="149"/>
  <c r="E34" i="149"/>
  <c r="F34" i="149"/>
  <c r="G34" i="149"/>
  <c r="I34" i="149"/>
  <c r="C98" i="149"/>
  <c r="B98" i="149"/>
  <c r="H98" i="149" s="1"/>
  <c r="B97" i="149"/>
  <c r="C97" i="149"/>
  <c r="H97" i="149" s="1"/>
  <c r="C96" i="149"/>
  <c r="B96" i="149"/>
  <c r="B34" i="149" s="1"/>
  <c r="C95" i="149"/>
  <c r="B95" i="149"/>
  <c r="C94" i="149"/>
  <c r="B94" i="149"/>
  <c r="H94" i="149" s="1"/>
  <c r="B93" i="149"/>
  <c r="C93" i="149"/>
  <c r="H93" i="149" s="1"/>
  <c r="B92" i="149"/>
  <c r="C92" i="149"/>
  <c r="H92" i="149"/>
  <c r="B91" i="149"/>
  <c r="C91" i="149"/>
  <c r="H91" i="149" s="1"/>
  <c r="B90" i="149"/>
  <c r="B32" i="149" s="1"/>
  <c r="C90" i="149"/>
  <c r="D12" i="149" l="1"/>
  <c r="E12" i="149"/>
  <c r="F12" i="149"/>
  <c r="G12" i="149"/>
  <c r="I12" i="149"/>
  <c r="C32" i="149"/>
  <c r="C33" i="149"/>
  <c r="C34" i="149"/>
  <c r="H95" i="149"/>
  <c r="B33" i="149"/>
  <c r="H90" i="149"/>
  <c r="H32" i="149" s="1"/>
  <c r="H96" i="149"/>
  <c r="H34" i="149" s="1"/>
  <c r="B12" i="149" l="1"/>
  <c r="C12" i="149"/>
  <c r="H33" i="149"/>
  <c r="H12" i="149" s="1"/>
  <c r="C25" i="149"/>
  <c r="D25" i="149"/>
  <c r="E25" i="149"/>
  <c r="F25" i="149"/>
  <c r="G25" i="149"/>
  <c r="H25" i="149"/>
  <c r="I25" i="149"/>
  <c r="C24" i="149"/>
  <c r="D24" i="149"/>
  <c r="E24" i="149"/>
  <c r="F24" i="149"/>
  <c r="G24" i="149"/>
  <c r="H24" i="149"/>
  <c r="I24" i="149"/>
  <c r="C23" i="149"/>
  <c r="D23" i="149"/>
  <c r="E23" i="149"/>
  <c r="F23" i="149"/>
  <c r="G23" i="149"/>
  <c r="H23" i="149"/>
  <c r="I23" i="149"/>
  <c r="C22" i="149"/>
  <c r="D22" i="149"/>
  <c r="E22" i="149"/>
  <c r="F22" i="149"/>
  <c r="G22" i="149"/>
  <c r="H22" i="149"/>
  <c r="I22" i="149"/>
  <c r="B25" i="149"/>
  <c r="B24" i="149"/>
  <c r="B23" i="149"/>
  <c r="B22" i="149"/>
  <c r="C21" i="149"/>
  <c r="D21" i="149"/>
  <c r="E21" i="149"/>
  <c r="F21" i="149"/>
  <c r="G21" i="149"/>
  <c r="H21" i="149"/>
  <c r="I21" i="149"/>
  <c r="C20" i="149"/>
  <c r="D20" i="149"/>
  <c r="E20" i="149"/>
  <c r="F20" i="149"/>
  <c r="G20" i="149"/>
  <c r="H20" i="149"/>
  <c r="I20" i="149"/>
  <c r="I19" i="149"/>
  <c r="C19" i="149"/>
  <c r="D19" i="149"/>
  <c r="E19" i="149"/>
  <c r="F19" i="149"/>
  <c r="G19" i="149"/>
  <c r="H19" i="149"/>
  <c r="C18" i="149"/>
  <c r="D18" i="149"/>
  <c r="E18" i="149"/>
  <c r="F18" i="149"/>
  <c r="G18" i="149"/>
  <c r="H18" i="149"/>
  <c r="I18" i="149"/>
  <c r="B21" i="149"/>
  <c r="B20" i="149"/>
  <c r="B19" i="149"/>
  <c r="B18" i="149"/>
  <c r="C17" i="149"/>
  <c r="D17" i="149"/>
  <c r="E17" i="149"/>
  <c r="F17" i="149"/>
  <c r="G17" i="149"/>
  <c r="H17" i="149"/>
  <c r="I17" i="149"/>
  <c r="C16" i="149"/>
  <c r="D16" i="149"/>
  <c r="E16" i="149"/>
  <c r="F16" i="149"/>
  <c r="G16" i="149"/>
  <c r="H16" i="149"/>
  <c r="I16" i="149"/>
  <c r="C15" i="149"/>
  <c r="D15" i="149"/>
  <c r="E15" i="149"/>
  <c r="F15" i="149"/>
  <c r="G15" i="149"/>
  <c r="H15" i="149"/>
  <c r="I15" i="149"/>
  <c r="C14" i="149"/>
  <c r="D14" i="149"/>
  <c r="E14" i="149"/>
  <c r="F14" i="149"/>
  <c r="G14" i="149"/>
  <c r="H14" i="149"/>
  <c r="I14" i="149"/>
  <c r="B17" i="149"/>
  <c r="B16" i="149"/>
  <c r="B15" i="149"/>
  <c r="B14" i="149"/>
</calcChain>
</file>

<file path=xl/sharedStrings.xml><?xml version="1.0" encoding="utf-8"?>
<sst xmlns="http://schemas.openxmlformats.org/spreadsheetml/2006/main" count="3335" uniqueCount="910">
  <si>
    <t>Sources:</t>
  </si>
  <si>
    <t>(b) Provisional</t>
  </si>
  <si>
    <t>Total</t>
  </si>
  <si>
    <t>Period</t>
  </si>
  <si>
    <t>Lanka IOC PLC</t>
  </si>
  <si>
    <t xml:space="preserve">Sources: </t>
  </si>
  <si>
    <t xml:space="preserve">Table of Contents </t>
  </si>
  <si>
    <t>Table / Sheet No.</t>
  </si>
  <si>
    <t xml:space="preserve">(Click on the name to access the required table) </t>
  </si>
  <si>
    <t>Table Name</t>
  </si>
  <si>
    <t>Back to Contents</t>
  </si>
  <si>
    <t>MONTHLY BULLETIN</t>
  </si>
  <si>
    <t xml:space="preserve">Total </t>
  </si>
  <si>
    <t>2020-Q1</t>
  </si>
  <si>
    <t>2020-Q2</t>
  </si>
  <si>
    <t>2020-Q3</t>
  </si>
  <si>
    <t>2020-Q4</t>
  </si>
  <si>
    <t>2021-Q1</t>
  </si>
  <si>
    <t>2021-Q2</t>
  </si>
  <si>
    <t>2021-Q3</t>
  </si>
  <si>
    <t>2021-Q4</t>
  </si>
  <si>
    <t>2022-Q1</t>
  </si>
  <si>
    <t>2022-Q2</t>
  </si>
  <si>
    <t>2022-Q3</t>
  </si>
  <si>
    <t>2022-Q4</t>
  </si>
  <si>
    <t>2023-Q1</t>
  </si>
  <si>
    <t>2023-Q2</t>
  </si>
  <si>
    <t>2023-Q3</t>
  </si>
  <si>
    <t>2023-Q4</t>
  </si>
  <si>
    <t>EXTERNAL SECTOR</t>
  </si>
  <si>
    <t>Exports, Imports and Trade Balances</t>
  </si>
  <si>
    <t>Exports</t>
  </si>
  <si>
    <t xml:space="preserve">Export Performance based on Standard International Trade Classification (SITC) </t>
  </si>
  <si>
    <t>TABLE  31</t>
  </si>
  <si>
    <t xml:space="preserve"> Export Performance according to the Standard International Trade Classification (SITC ) (a)</t>
  </si>
  <si>
    <t>Exports (USD mn)</t>
  </si>
  <si>
    <t>Total Exports 
(Rs. mn)</t>
  </si>
  <si>
    <t>Food and live animals</t>
  </si>
  <si>
    <t>Beverages and tobacco</t>
  </si>
  <si>
    <t>Crude materials,inedible,except fuels</t>
  </si>
  <si>
    <t>Mineral fuels, lubricants and related materials</t>
  </si>
  <si>
    <t>Animal and vegetable oils, fats and waxes</t>
  </si>
  <si>
    <t>Chemicals and related products,n.e.s.</t>
  </si>
  <si>
    <t>Manufactured goods classified chiefly by materials</t>
  </si>
  <si>
    <t>Machinery,transport equipment</t>
  </si>
  <si>
    <t>Miscellaneous manufactured articles</t>
  </si>
  <si>
    <t>Commodities and transactions not classified elsewhere in  the SITC</t>
  </si>
  <si>
    <t>Total Exports</t>
  </si>
  <si>
    <t xml:space="preserve">     2020</t>
  </si>
  <si>
    <t xml:space="preserve">     2021</t>
  </si>
  <si>
    <t xml:space="preserve">     2022</t>
  </si>
  <si>
    <t xml:space="preserve">     2023</t>
  </si>
  <si>
    <t>(a)  Data is compiled based on the latest version of SITC - Revision 4 published in 2006.</t>
  </si>
  <si>
    <t xml:space="preserve">                Sources: </t>
  </si>
  <si>
    <t>Ceylon Petroleum Corporation and Other Exporters of Petroleum</t>
  </si>
  <si>
    <t>(b ) Provisional</t>
  </si>
  <si>
    <t xml:space="preserve">                                National Gem and Jewellery Authority</t>
  </si>
  <si>
    <t xml:space="preserve">                                Sri Lanka Customs</t>
  </si>
  <si>
    <t xml:space="preserve">                                Central Bank of Sri Lanka</t>
  </si>
  <si>
    <t>TABLE  32</t>
  </si>
  <si>
    <t>Item</t>
  </si>
  <si>
    <t>Food, beverages &amp; tobacco</t>
  </si>
  <si>
    <t xml:space="preserve">    Milling industry products</t>
  </si>
  <si>
    <t xml:space="preserve">    Vegetable, fruit and nuts preparations</t>
  </si>
  <si>
    <t xml:space="preserve">    Cereal preparations</t>
  </si>
  <si>
    <t xml:space="preserve">    Fish preparations (b)</t>
  </si>
  <si>
    <t xml:space="preserve">    Manufactured Tobacco</t>
  </si>
  <si>
    <t xml:space="preserve">    Other</t>
  </si>
  <si>
    <t>Animal Fodder</t>
  </si>
  <si>
    <t>Textiles &amp; garments</t>
  </si>
  <si>
    <t xml:space="preserve">    Garments</t>
  </si>
  <si>
    <t xml:space="preserve">    Woven Fabrics</t>
  </si>
  <si>
    <t xml:space="preserve">    Yarn</t>
  </si>
  <si>
    <t xml:space="preserve">    Other made up textile articles</t>
  </si>
  <si>
    <t>Rubber Products</t>
  </si>
  <si>
    <t xml:space="preserve">    Rubber tyres</t>
  </si>
  <si>
    <t xml:space="preserve">    Surgical and other gloves</t>
  </si>
  <si>
    <t xml:space="preserve">    Other rubber products</t>
  </si>
  <si>
    <t xml:space="preserve">   Gems</t>
  </si>
  <si>
    <t xml:space="preserve">   Diamonds</t>
  </si>
  <si>
    <t xml:space="preserve">   Jewellery</t>
  </si>
  <si>
    <t>Machinary &amp; mechanical appliances</t>
  </si>
  <si>
    <t xml:space="preserve">    Electrical machinery and equipment</t>
  </si>
  <si>
    <t xml:space="preserve">    Electronic equipment</t>
  </si>
  <si>
    <t xml:space="preserve">    Insulated wires, cables and conductors</t>
  </si>
  <si>
    <t xml:space="preserve">    Other industrial machinery</t>
  </si>
  <si>
    <t>Transport equipment</t>
  </si>
  <si>
    <t xml:space="preserve">    Road vehicles</t>
  </si>
  <si>
    <t xml:space="preserve">    Ships, boats and floating structures</t>
  </si>
  <si>
    <t>Petroleum products</t>
  </si>
  <si>
    <t xml:space="preserve">    Bunkers &amp; aviation fuel</t>
  </si>
  <si>
    <t xml:space="preserve">    Other petroleum products</t>
  </si>
  <si>
    <t>Chemical products</t>
  </si>
  <si>
    <t>Wood &amp; paper products</t>
  </si>
  <si>
    <t>Leather, travel goods and footwear</t>
  </si>
  <si>
    <t xml:space="preserve">    Footwear</t>
  </si>
  <si>
    <t xml:space="preserve">    Travel goods</t>
  </si>
  <si>
    <t xml:space="preserve">    Other </t>
  </si>
  <si>
    <t>Plastics and articles</t>
  </si>
  <si>
    <t>Base metals and articles</t>
  </si>
  <si>
    <t>Ceramic products</t>
  </si>
  <si>
    <t xml:space="preserve">    Tiles</t>
  </si>
  <si>
    <t xml:space="preserve">    Tableware, household items and sanitaryware</t>
  </si>
  <si>
    <t xml:space="preserve">Other industrial exports </t>
  </si>
  <si>
    <t xml:space="preserve">TOTAL INDUSTRIAL EXPORTS </t>
  </si>
  <si>
    <t>Mineral Exports</t>
  </si>
  <si>
    <t xml:space="preserve">    Natural Graphite</t>
  </si>
  <si>
    <t xml:space="preserve">    Natural Sands</t>
  </si>
  <si>
    <t xml:space="preserve">    Quartz</t>
  </si>
  <si>
    <t>TOTAL MINERAL EXPORTS</t>
  </si>
  <si>
    <r>
      <t>Gems , Diamonds</t>
    </r>
    <r>
      <rPr>
        <sz val="10"/>
        <color indexed="10"/>
        <rFont val="Times New Roman"/>
        <family val="1"/>
      </rPr>
      <t xml:space="preserve"> </t>
    </r>
    <r>
      <rPr>
        <sz val="10"/>
        <color indexed="8"/>
        <rFont val="Times New Roman"/>
        <family val="1"/>
      </rPr>
      <t xml:space="preserve">  &amp; Jewellery</t>
    </r>
  </si>
  <si>
    <t>(a) Provisional</t>
  </si>
  <si>
    <t>(b) Including crustaceans and molluscs</t>
  </si>
  <si>
    <t>Sri Lanka Customs</t>
  </si>
  <si>
    <t>Central Bank of Sri Lanka</t>
  </si>
  <si>
    <t>Composition of Industrial and Mineral Exports</t>
  </si>
  <si>
    <t>Tea and Rubber - Auctions and Exports</t>
  </si>
  <si>
    <t xml:space="preserve"> </t>
  </si>
  <si>
    <t xml:space="preserve">Exports </t>
  </si>
  <si>
    <t xml:space="preserve"> Colombo Auctions</t>
  </si>
  <si>
    <t xml:space="preserve">Volume </t>
  </si>
  <si>
    <t xml:space="preserve">  Value</t>
  </si>
  <si>
    <t xml:space="preserve">      Gross  Price (Rs./kg) (a)</t>
  </si>
  <si>
    <t>(kg '000)</t>
  </si>
  <si>
    <t>USD mn</t>
  </si>
  <si>
    <t>USD/kg</t>
  </si>
  <si>
    <t>High</t>
  </si>
  <si>
    <t>Medium</t>
  </si>
  <si>
    <t>Low</t>
  </si>
  <si>
    <r>
      <t xml:space="preserve">                                                                                             Sources</t>
    </r>
    <r>
      <rPr>
        <sz val="10"/>
        <rFont val="Times New Roman"/>
        <family val="1"/>
      </rPr>
      <t>:  Colombo Tea Brokers' Association</t>
    </r>
  </si>
  <si>
    <t>TABLE  33</t>
  </si>
  <si>
    <t>Quantity Sold</t>
  </si>
  <si>
    <t>Value (Rs. mn)</t>
  </si>
  <si>
    <t>Value
 (USD mn)</t>
  </si>
  <si>
    <t>Price (F.O.B.)</t>
  </si>
  <si>
    <t>Colombo Market Prices (Rs./kg)</t>
  </si>
  <si>
    <t>RSS</t>
  </si>
  <si>
    <t>Latex  Crepe</t>
  </si>
  <si>
    <t>Scrap Crepe No. 1X Br</t>
  </si>
  <si>
    <t>RSS No. 3 Singapore 
(USD/kg)</t>
  </si>
  <si>
    <t xml:space="preserve">  Sheet</t>
  </si>
  <si>
    <t xml:space="preserve">  Crepe</t>
  </si>
  <si>
    <t xml:space="preserve">   Other</t>
  </si>
  <si>
    <t xml:space="preserve">  Total</t>
  </si>
  <si>
    <t xml:space="preserve">    USD/kg</t>
  </si>
  <si>
    <t xml:space="preserve">         No. 1</t>
  </si>
  <si>
    <t xml:space="preserve">      No. 2</t>
  </si>
  <si>
    <t>No. 1X</t>
  </si>
  <si>
    <t xml:space="preserve">   No. 1</t>
  </si>
  <si>
    <t>Tea</t>
  </si>
  <si>
    <t>Rubber</t>
  </si>
  <si>
    <t xml:space="preserve"> Volume (kg '000)  </t>
  </si>
  <si>
    <t>Prices (b)</t>
  </si>
  <si>
    <t>Volume (kg '000)</t>
  </si>
  <si>
    <t>Value 
USD mn</t>
  </si>
  <si>
    <t>Desiccated Coconut</t>
  </si>
  <si>
    <t>Coconut Oil</t>
  </si>
  <si>
    <t>Copra</t>
  </si>
  <si>
    <t>Non Kernel Products</t>
  </si>
  <si>
    <t xml:space="preserve"> TABLE 34</t>
  </si>
  <si>
    <t>Major Coconut Products - Auctions and Exports</t>
  </si>
  <si>
    <t xml:space="preserve">Value  (Rs. mn)   </t>
  </si>
  <si>
    <t>Spices</t>
  </si>
  <si>
    <t>Vegetables</t>
  </si>
  <si>
    <t>Unmanufactured Tobacco</t>
  </si>
  <si>
    <t>Minor Agricultural Products</t>
  </si>
  <si>
    <t xml:space="preserve">Total   </t>
  </si>
  <si>
    <t>Cinnamon</t>
  </si>
  <si>
    <t>Pepper</t>
  </si>
  <si>
    <t>Cloves</t>
  </si>
  <si>
    <t>Nutmeg and Mace</t>
  </si>
  <si>
    <t>Other Spices</t>
  </si>
  <si>
    <t>Fruits</t>
  </si>
  <si>
    <t>Cereals</t>
  </si>
  <si>
    <t>Sesame Seeds</t>
  </si>
  <si>
    <t>Cocoa</t>
  </si>
  <si>
    <t>Coffee</t>
  </si>
  <si>
    <t>Arecanuts</t>
  </si>
  <si>
    <t>Betel Leaves</t>
  </si>
  <si>
    <t>Essential Oils</t>
  </si>
  <si>
    <t>Cashew Nuts</t>
  </si>
  <si>
    <t>Other</t>
  </si>
  <si>
    <r>
      <t xml:space="preserve">Source: </t>
    </r>
    <r>
      <rPr>
        <sz val="10"/>
        <rFont val="Times New Roman"/>
        <family val="1"/>
      </rPr>
      <t>Sri Lanka Customs</t>
    </r>
  </si>
  <si>
    <t>TABLE 35</t>
  </si>
  <si>
    <t>TABLE 36</t>
  </si>
  <si>
    <t>Exports of Other Agricultural Products - Value</t>
  </si>
  <si>
    <t>Exports of Other Agricultural Products - Volume</t>
  </si>
  <si>
    <t>Volume ('000 kg)</t>
  </si>
  <si>
    <t>TABLE 37</t>
  </si>
  <si>
    <t>Composition of Imports</t>
  </si>
  <si>
    <t>1.    Consumer Goods</t>
  </si>
  <si>
    <t xml:space="preserve">       1.1  Food and  Beverages</t>
  </si>
  <si>
    <t xml:space="preserve">                 Lentils</t>
  </si>
  <si>
    <t xml:space="preserve">                Onions</t>
  </si>
  <si>
    <t xml:space="preserve">                 Sugar</t>
  </si>
  <si>
    <t xml:space="preserve">                 Rice</t>
  </si>
  <si>
    <t xml:space="preserve">                 Flour</t>
  </si>
  <si>
    <t xml:space="preserve">                 Milk &amp; Milk Products</t>
  </si>
  <si>
    <t xml:space="preserve">                 Fish </t>
  </si>
  <si>
    <t xml:space="preserve">                 Oil and Fats</t>
  </si>
  <si>
    <t xml:space="preserve">                 Spices</t>
  </si>
  <si>
    <t xml:space="preserve">                Other</t>
  </si>
  <si>
    <t xml:space="preserve">       1.2  Other Consumer Goods</t>
  </si>
  <si>
    <t xml:space="preserve">                Vehicles</t>
  </si>
  <si>
    <t xml:space="preserve">                Home Appliances - Radio Receivers &amp; Television Sets</t>
  </si>
  <si>
    <t xml:space="preserve">                Household and Furniture Items</t>
  </si>
  <si>
    <t xml:space="preserve">                Rubber Products</t>
  </si>
  <si>
    <t xml:space="preserve">                Medical and Pharmaceutical Products</t>
  </si>
  <si>
    <t>2.    Intermediate Goods</t>
  </si>
  <si>
    <t xml:space="preserve">                Fertiliser</t>
  </si>
  <si>
    <t xml:space="preserve">                Petroleum</t>
  </si>
  <si>
    <t xml:space="preserve">                Chemical Products</t>
  </si>
  <si>
    <t xml:space="preserve">                Wheat &amp; Maize</t>
  </si>
  <si>
    <t xml:space="preserve">                Textiles </t>
  </si>
  <si>
    <t xml:space="preserve">                Diamonds and Precious Metals</t>
  </si>
  <si>
    <t xml:space="preserve">                Base Metals</t>
  </si>
  <si>
    <t xml:space="preserve">                Vehicle and Mechinery Parts</t>
  </si>
  <si>
    <t xml:space="preserve">                 Paper and Paperboards</t>
  </si>
  <si>
    <t>3.    Investment goods</t>
  </si>
  <si>
    <t xml:space="preserve">                Building Materials</t>
  </si>
  <si>
    <t xml:space="preserve">                Transport Equipment </t>
  </si>
  <si>
    <t xml:space="preserve">                Machinery &amp; Equipment</t>
  </si>
  <si>
    <t>4.    Total ( Items 1,2 and 3 )</t>
  </si>
  <si>
    <t xml:space="preserve">5.    Unclassified Imports </t>
  </si>
  <si>
    <t xml:space="preserve">6.    Total Imports (b) </t>
  </si>
  <si>
    <t xml:space="preserve">Ceylon Petroleum Corporation </t>
  </si>
  <si>
    <t xml:space="preserve">(b) Adjusted  </t>
  </si>
  <si>
    <t xml:space="preserve"> Lanka IOC PLC</t>
  </si>
  <si>
    <t>Imports (USD mn)</t>
  </si>
  <si>
    <t>Machinery, transport equipment</t>
  </si>
  <si>
    <t>Total Imports</t>
  </si>
  <si>
    <t>TABLE  38</t>
  </si>
  <si>
    <t>Import Performance based on the Standard International Trade Classification (SITC )</t>
  </si>
  <si>
    <t>Composition of Exports</t>
  </si>
  <si>
    <t>Total Imports 
(Rs. mn)</t>
  </si>
  <si>
    <t xml:space="preserve">                      </t>
  </si>
  <si>
    <t>2010 =100</t>
  </si>
  <si>
    <t xml:space="preserve">Total Exports </t>
  </si>
  <si>
    <t>Industrial Exports</t>
  </si>
  <si>
    <t>Agricultural Exports</t>
  </si>
  <si>
    <t>Textiles and Garments</t>
  </si>
  <si>
    <t>Petroleum Products</t>
  </si>
  <si>
    <t>Coconut Products</t>
  </si>
  <si>
    <t>Minor Agri. Products</t>
  </si>
  <si>
    <t>(a) The value index is computed as a simple index of the ratio of rupee values between the current period and the base period.</t>
  </si>
  <si>
    <t>TABLE 39</t>
  </si>
  <si>
    <t>2025-Q1 (b)</t>
  </si>
  <si>
    <t>2025-Q2 (b)</t>
  </si>
  <si>
    <t>Source: Sri Lanka Customs</t>
  </si>
  <si>
    <t>External Trade Indices - Export Value</t>
  </si>
  <si>
    <t>TABLE 40</t>
  </si>
  <si>
    <t>Imports</t>
  </si>
  <si>
    <t>Consumer Goods</t>
  </si>
  <si>
    <t>Food and Beverages</t>
  </si>
  <si>
    <t>Other Consumer Goods</t>
  </si>
  <si>
    <t>Intermediate Goods</t>
  </si>
  <si>
    <t>Fuel</t>
  </si>
  <si>
    <t>Textiles</t>
  </si>
  <si>
    <t>Fertilizer</t>
  </si>
  <si>
    <t>Chemicals</t>
  </si>
  <si>
    <t>Wheat and Maize</t>
  </si>
  <si>
    <t>Investment Goods</t>
  </si>
  <si>
    <t>Machinary and Equipment</t>
  </si>
  <si>
    <t>Transport Equipment</t>
  </si>
  <si>
    <t>Building Material</t>
  </si>
  <si>
    <t xml:space="preserve">Total Imports </t>
  </si>
  <si>
    <t>External Trade Indices - Import Value</t>
  </si>
  <si>
    <t>External Trade Indices - Export Volume (a)</t>
  </si>
  <si>
    <t>TABLE 41</t>
  </si>
  <si>
    <t>External Trade Indices - Export Volume</t>
  </si>
  <si>
    <t>External Trade Indices - Import Volume</t>
  </si>
  <si>
    <t>External Trade Indices - Import Volume (a)</t>
  </si>
  <si>
    <t>TABLE 42</t>
  </si>
  <si>
    <t>TABLE 43</t>
  </si>
  <si>
    <t>TABLE 44</t>
  </si>
  <si>
    <t>External Trade Indices - Export Unit Value</t>
  </si>
  <si>
    <t>External Trade Indices - Import Unit Value</t>
  </si>
  <si>
    <t>TABLE  30</t>
  </si>
  <si>
    <t>TABLE  29</t>
  </si>
  <si>
    <t>Customs</t>
  </si>
  <si>
    <t>Adjusted (a)</t>
  </si>
  <si>
    <t>Domestic</t>
  </si>
  <si>
    <t>Re-Exports</t>
  </si>
  <si>
    <t>Total Customs</t>
  </si>
  <si>
    <t>Total Adjusted (a)</t>
  </si>
  <si>
    <t>Balance of Trade</t>
  </si>
  <si>
    <t>TRADE, TOURISM AND BALANCE OF PAYMENTS</t>
  </si>
  <si>
    <t>2025-Jan (b)</t>
  </si>
  <si>
    <t>2025-Feb (b)</t>
  </si>
  <si>
    <t>2025-Mar (b)</t>
  </si>
  <si>
    <t>2025-Apr (b)</t>
  </si>
  <si>
    <t>2025-May (b)</t>
  </si>
  <si>
    <t>2025-Jun (b)</t>
  </si>
  <si>
    <t>(a) Adjusted for lags and other factors of recording</t>
  </si>
  <si>
    <t>2025-Q1 (a)</t>
  </si>
  <si>
    <t>2025-Q2 (a)</t>
  </si>
  <si>
    <t>2025-Jan (a)</t>
  </si>
  <si>
    <t>2025-Feb (a)</t>
  </si>
  <si>
    <t>2025-Mar (a)</t>
  </si>
  <si>
    <t>2025-Apr (a)</t>
  </si>
  <si>
    <t>2025-May (a)</t>
  </si>
  <si>
    <t>2025-Jun (a)</t>
  </si>
  <si>
    <t xml:space="preserve">                 Central Bank of Sri Lanka</t>
  </si>
  <si>
    <r>
      <rPr>
        <i/>
        <sz val="10"/>
        <rFont val="Times New Roman"/>
        <family val="1"/>
      </rPr>
      <t>Sources:</t>
    </r>
    <r>
      <rPr>
        <sz val="10"/>
        <rFont val="Times New Roman"/>
        <family val="1"/>
      </rPr>
      <t xml:space="preserve"> Sri Lanka Customs</t>
    </r>
  </si>
  <si>
    <r>
      <rPr>
        <i/>
        <sz val="10"/>
        <rFont val="Times New Roman"/>
        <family val="1"/>
      </rPr>
      <t xml:space="preserve">Sources: </t>
    </r>
    <r>
      <rPr>
        <sz val="10"/>
        <rFont val="Times New Roman"/>
        <family val="1"/>
      </rPr>
      <t>Ceylon Petroluem Corporation and other exporters of Petroleum</t>
    </r>
  </si>
  <si>
    <t xml:space="preserve">                 National Gem and Jewellary Authority</t>
  </si>
  <si>
    <t xml:space="preserve">                 Sri Lanka Customs</t>
  </si>
  <si>
    <t xml:space="preserve"> Price (F.O.B.)</t>
  </si>
  <si>
    <t>(b) Prices in rupee terms also include the impact of exchange rate movements</t>
  </si>
  <si>
    <t xml:space="preserve">             Sri Lanka Customs</t>
  </si>
  <si>
    <t xml:space="preserve">            The Ceylon Chamber of Commerce </t>
  </si>
  <si>
    <t xml:space="preserve">            World Bank</t>
  </si>
  <si>
    <t xml:space="preserve">            Central Bank of Sri Lanka</t>
  </si>
  <si>
    <t>Total Nuts (in mn) (b)</t>
  </si>
  <si>
    <t>Colombo Market (Rs./kg) (c)</t>
  </si>
  <si>
    <t xml:space="preserve">(a) Prices in rupee terms also include the impact of exchange rate movements. </t>
  </si>
  <si>
    <t>(b) Footnote (d) of web Table 13 gives the conversion formula used for the conversion of the volume of the three main types of coconut exports to their nut equivalent from metric tons.</t>
  </si>
  <si>
    <t>(c) Coconut auctions held irregularly during 2021 and 2022 due to COVID related disruptions and low supply.</t>
  </si>
  <si>
    <t>Coconut Development Authority</t>
  </si>
  <si>
    <t xml:space="preserve">Source: </t>
  </si>
  <si>
    <t xml:space="preserve"> Import Performance based on the Standard International Trade Classification (SITC ) (a)</t>
  </si>
  <si>
    <t>(a) Volume index is computed as a Laspeyre's index</t>
  </si>
  <si>
    <t>(a) Paasche unit value index is derived by using the rupee value index and the volume index</t>
  </si>
  <si>
    <t>Agricultural  Exports</t>
  </si>
  <si>
    <t>Unclassified Exports</t>
  </si>
  <si>
    <t>Gems, Diamonds and Jewellery</t>
  </si>
  <si>
    <t>TOURISM INDUSTRY</t>
  </si>
  <si>
    <t>Key Indicators of Tourism Industry</t>
  </si>
  <si>
    <t>TABLE 45</t>
  </si>
  <si>
    <t>Source: Sri Lanka Tourism Development Authority</t>
  </si>
  <si>
    <t>Tourist Arrivals by Region (No.)</t>
  </si>
  <si>
    <t>Middle East</t>
  </si>
  <si>
    <t>North America</t>
  </si>
  <si>
    <t>Eastern Europe</t>
  </si>
  <si>
    <t>Australasia</t>
  </si>
  <si>
    <t>(b) Data related to 2024 and 2025 are provisional</t>
  </si>
  <si>
    <r>
      <rPr>
        <i/>
        <sz val="10"/>
        <rFont val="Times New Roman"/>
        <family val="1"/>
      </rPr>
      <t xml:space="preserve">   Source: </t>
    </r>
    <r>
      <rPr>
        <sz val="10"/>
        <rFont val="Times New Roman"/>
        <family val="1"/>
      </rPr>
      <t>Central Bank of Sri Lanka</t>
    </r>
  </si>
  <si>
    <t xml:space="preserve">     2025 (b)</t>
  </si>
  <si>
    <t xml:space="preserve">     2024</t>
  </si>
  <si>
    <t>2025-Q3 (b)</t>
  </si>
  <si>
    <t>2025-Q4 (b)</t>
  </si>
  <si>
    <t>2025-Jul (b)</t>
  </si>
  <si>
    <t>2025-Aug (b)</t>
  </si>
  <si>
    <t>2025-Sep (b)</t>
  </si>
  <si>
    <t>2025-Oct (b)</t>
  </si>
  <si>
    <t>2025-Nov (b)</t>
  </si>
  <si>
    <t>2025-Dec (b)</t>
  </si>
  <si>
    <t xml:space="preserve">2024-Jan </t>
  </si>
  <si>
    <t xml:space="preserve">2024-Feb </t>
  </si>
  <si>
    <t xml:space="preserve">2024-Mar </t>
  </si>
  <si>
    <t xml:space="preserve">2024-Apr </t>
  </si>
  <si>
    <t xml:space="preserve">2024-May </t>
  </si>
  <si>
    <t xml:space="preserve">2024-Jun </t>
  </si>
  <si>
    <t xml:space="preserve">2024-Jul </t>
  </si>
  <si>
    <t xml:space="preserve">2024-Aug </t>
  </si>
  <si>
    <t xml:space="preserve">2024-Sep </t>
  </si>
  <si>
    <t xml:space="preserve">2024-Oct </t>
  </si>
  <si>
    <t xml:space="preserve">2024-Nov </t>
  </si>
  <si>
    <t xml:space="preserve">2024-Dec </t>
  </si>
  <si>
    <t xml:space="preserve">     2025 (a)</t>
  </si>
  <si>
    <t>2025-Q3 (a)</t>
  </si>
  <si>
    <t>2025-Q4 (a)</t>
  </si>
  <si>
    <t xml:space="preserve">     2024 </t>
  </si>
  <si>
    <t>2025-Jul (a)</t>
  </si>
  <si>
    <t>2025-Aug (a)</t>
  </si>
  <si>
    <t>2025-Sep (a)</t>
  </si>
  <si>
    <t>2025-Oct (a)</t>
  </si>
  <si>
    <t>2025-Nov (a)</t>
  </si>
  <si>
    <t>2025-Dec (a)</t>
  </si>
  <si>
    <t xml:space="preserve">2024-Q1 </t>
  </si>
  <si>
    <t xml:space="preserve">2024-Q2 </t>
  </si>
  <si>
    <t xml:space="preserve">2024-Q3 </t>
  </si>
  <si>
    <t xml:space="preserve">2024-Q4 </t>
  </si>
  <si>
    <t>2026-Jan (b)</t>
  </si>
  <si>
    <t>2026-Feb (b)</t>
  </si>
  <si>
    <t>2026-Mar (b)</t>
  </si>
  <si>
    <t>2026-Jan (a)</t>
  </si>
  <si>
    <t>2026-Mar (a)</t>
  </si>
  <si>
    <t>2026-Feb (a)</t>
  </si>
  <si>
    <t>Composition of Imports (USD mn) (a)</t>
  </si>
  <si>
    <t>External Trade Indices - Export Value - in Rupee Terms (a)</t>
  </si>
  <si>
    <t>Asia except oceania</t>
  </si>
  <si>
    <t>Western Europe except eastern</t>
  </si>
  <si>
    <t>2026-Q1 (a)</t>
  </si>
  <si>
    <t>2026-Q1 (b)</t>
  </si>
  <si>
    <t>(b) Data related to 2025 and 2026 are provisional</t>
  </si>
  <si>
    <t>Composition of Industrial and Mineral Exports (USD mn) (a)</t>
  </si>
  <si>
    <t>External Trade Indices - Import Value - in Rupee Terms (a)</t>
  </si>
  <si>
    <t>External Trade Indices - Export Unit Value - in Rupees Terms (a)</t>
  </si>
  <si>
    <t>External Trade Indices - Import Unit Value - in Rupees Terms (a)</t>
  </si>
  <si>
    <t xml:space="preserve">International Investment Position - Standard presentation under BPM6 format </t>
  </si>
  <si>
    <t>International  Reserves of Sri Lanka</t>
  </si>
  <si>
    <t>Exchange Rates of Major Currencies and Monthly Indices of Nominal Effective Exchange Rate and Real Effective Exchange Rate (REER)</t>
  </si>
  <si>
    <t>Interbank Market Transactions</t>
  </si>
  <si>
    <t>Balance of Payments - Standard Presentation under BPM6 Format</t>
  </si>
  <si>
    <t>Balance of Payments - Standard Presentation under BPM6 Format (Contd.)</t>
  </si>
  <si>
    <t>46 Contd.</t>
  </si>
  <si>
    <t>2026-Apr (b)</t>
  </si>
  <si>
    <t>2026-Apr (a)</t>
  </si>
  <si>
    <t>2026-Jan (d)</t>
  </si>
  <si>
    <t>2026-Feb (d)</t>
  </si>
  <si>
    <t>2026-Mar (d)</t>
  </si>
  <si>
    <t>2026-Apr (d)</t>
  </si>
  <si>
    <t>(d) Provisional</t>
  </si>
  <si>
    <t>2025-Oct (d)</t>
  </si>
  <si>
    <t>2025-Jan (d)</t>
  </si>
  <si>
    <t>2025-Feb (d)</t>
  </si>
  <si>
    <t>2025-Mar (d)</t>
  </si>
  <si>
    <t>2025-Apr (d)</t>
  </si>
  <si>
    <t>2025-May (d)</t>
  </si>
  <si>
    <t>2025-Jun (d)</t>
  </si>
  <si>
    <t>2025-Jul (d)</t>
  </si>
  <si>
    <t>2025-Aug (d)</t>
  </si>
  <si>
    <t>2025-Sep (d)</t>
  </si>
  <si>
    <t>2025-Nov (d)</t>
  </si>
  <si>
    <t>2025-Dec (d)</t>
  </si>
  <si>
    <t>2025-Q2 (d)</t>
  </si>
  <si>
    <t>2025-Q1 (d)</t>
  </si>
  <si>
    <t>2025-Q3 (d)</t>
  </si>
  <si>
    <t>2025-Q4 (d)</t>
  </si>
  <si>
    <t>2026-Q1 (d)</t>
  </si>
  <si>
    <t xml:space="preserve">     2025 (d)</t>
  </si>
  <si>
    <t>TABLE  46</t>
  </si>
  <si>
    <t>Balance of Payments - Standard Presentation under BPM6 Format (a)(b)</t>
  </si>
  <si>
    <t>US$ million</t>
  </si>
  <si>
    <r>
      <t xml:space="preserve">Current and Capital Account  </t>
    </r>
    <r>
      <rPr>
        <b/>
        <sz val="11"/>
        <color theme="1"/>
        <rFont val="Times New Roman"/>
        <family val="1"/>
      </rPr>
      <t>(USD mn)</t>
    </r>
  </si>
  <si>
    <t>2012 -1st Quarter</t>
  </si>
  <si>
    <t>2012 - 2nd Quarter</t>
  </si>
  <si>
    <t>2012 -3rd Quarter</t>
  </si>
  <si>
    <t>2012 - 4th Quarter</t>
  </si>
  <si>
    <t>2013 - 1st Quarter</t>
  </si>
  <si>
    <t>2013 - 2nd Quarter</t>
  </si>
  <si>
    <t>2013 - 3rd Quarter</t>
  </si>
  <si>
    <t>2013 - 4th Quarter</t>
  </si>
  <si>
    <t>2014 - 1st Quarter</t>
  </si>
  <si>
    <t>2014 - 2nd Quarter</t>
  </si>
  <si>
    <t>2014 - 3rd Quarter</t>
  </si>
  <si>
    <t>2014 - 4th Quarter</t>
  </si>
  <si>
    <t>2015 - 1st Quarter</t>
  </si>
  <si>
    <t>2015 - 2nd Quarter</t>
  </si>
  <si>
    <t>2015 - 3rd Quarter</t>
  </si>
  <si>
    <t>2015 - 4th Quarter</t>
  </si>
  <si>
    <t>2016 - 1st Quarter</t>
  </si>
  <si>
    <t>2016 - 2nd Quarter</t>
  </si>
  <si>
    <t>2016 - 3rd Quarter</t>
  </si>
  <si>
    <t>2016 - 4th Quarter</t>
  </si>
  <si>
    <t>2017 - 1st Quarter</t>
  </si>
  <si>
    <t>2017 - 2nd Quarter</t>
  </si>
  <si>
    <t>2017 - 3rd Quarter</t>
  </si>
  <si>
    <t>2017 - 4th Quarter</t>
  </si>
  <si>
    <t>2018 - 1st Quarter</t>
  </si>
  <si>
    <t>2018 - 2nd Quarter</t>
  </si>
  <si>
    <t>2018 - 3rd Quarter</t>
  </si>
  <si>
    <t>2018 - 4th Quarter</t>
  </si>
  <si>
    <t>2019 - 1st Quarter</t>
  </si>
  <si>
    <t>2019 - 2nd Quarter</t>
  </si>
  <si>
    <t>2019 - 3rd Quarter</t>
  </si>
  <si>
    <t>2019 - 4th Quarter</t>
  </si>
  <si>
    <t>2020 - 1st Quarter</t>
  </si>
  <si>
    <t>2020 - 2nd Quarter</t>
  </si>
  <si>
    <t>2020 - 3rd Quarter</t>
  </si>
  <si>
    <t>2020 - 4th Quarter</t>
  </si>
  <si>
    <t>2021 - 1st Quarter</t>
  </si>
  <si>
    <t>2021 - 2nd Quarter</t>
  </si>
  <si>
    <t>2021 - 3rd Quarter</t>
  </si>
  <si>
    <t>2021 - 4th Quarter</t>
  </si>
  <si>
    <t>2022 - 1st Quarter</t>
  </si>
  <si>
    <t>2022 - 2nd Quarter</t>
  </si>
  <si>
    <t>2022 - 3rd Quarter</t>
  </si>
  <si>
    <t>2022 - 4th Quarter</t>
  </si>
  <si>
    <t>2023 - 1st Quarter</t>
  </si>
  <si>
    <t>2023 - 2nd Quarter</t>
  </si>
  <si>
    <t>2023 - 3rd Quarter</t>
  </si>
  <si>
    <t>2023 - 4th Quarter</t>
  </si>
  <si>
    <t>2024 - 1st Quarter</t>
  </si>
  <si>
    <t>2024 - 2nd Quarter</t>
  </si>
  <si>
    <t>2024 - 3rd Quarter</t>
  </si>
  <si>
    <t>2024 - 4th Quarter</t>
  </si>
  <si>
    <t>2025 - 1st Quarter</t>
  </si>
  <si>
    <t>2025 - 2nd Quarter</t>
  </si>
  <si>
    <t>2025 - 3rd Quarter</t>
  </si>
  <si>
    <t>2025 - 4th Quarter</t>
  </si>
  <si>
    <t>Credit</t>
  </si>
  <si>
    <t>Debit</t>
  </si>
  <si>
    <t>Net</t>
  </si>
  <si>
    <t>Goods and services</t>
  </si>
  <si>
    <t>Goods</t>
  </si>
  <si>
    <t>General merchandise on a BOP basis</t>
  </si>
  <si>
    <t>Net exports of goods under merchanting</t>
  </si>
  <si>
    <t>Non-monetary gold</t>
  </si>
  <si>
    <t>Services</t>
  </si>
  <si>
    <t xml:space="preserve">Manufacturing services </t>
  </si>
  <si>
    <t>Maintenance and repair services n.i.e</t>
  </si>
  <si>
    <t>Transport</t>
  </si>
  <si>
    <t>Sea Transport</t>
  </si>
  <si>
    <t>Passenger</t>
  </si>
  <si>
    <t>Freight</t>
  </si>
  <si>
    <t>Air transport</t>
  </si>
  <si>
    <t>Other modes of transport</t>
  </si>
  <si>
    <t>Postal services</t>
  </si>
  <si>
    <t>Travel</t>
  </si>
  <si>
    <t>Business and Personal Travel</t>
  </si>
  <si>
    <t>Travel for Health</t>
  </si>
  <si>
    <t>Travel for Education</t>
  </si>
  <si>
    <t>Construction</t>
  </si>
  <si>
    <t>Insuarance and pension services</t>
  </si>
  <si>
    <t>Financial services</t>
  </si>
  <si>
    <t>Charges for the use of intellectual property</t>
  </si>
  <si>
    <t>Telecommunication, computer and information services</t>
  </si>
  <si>
    <t>Telecommunications services</t>
  </si>
  <si>
    <t>Computer services</t>
  </si>
  <si>
    <t>Other business services</t>
  </si>
  <si>
    <t>Education services</t>
  </si>
  <si>
    <t>Professional and management consulting services</t>
  </si>
  <si>
    <t>Technical, trade-related, and other business services</t>
  </si>
  <si>
    <t>Personal, cultural and recreational services</t>
  </si>
  <si>
    <t>Government goods and services n.i.e</t>
  </si>
  <si>
    <t>Primary Income</t>
  </si>
  <si>
    <t>Compensation of employees</t>
  </si>
  <si>
    <t>Investment Income</t>
  </si>
  <si>
    <t>Direct Investment</t>
  </si>
  <si>
    <t xml:space="preserve">Dividends </t>
  </si>
  <si>
    <t>Re-invested earnings</t>
  </si>
  <si>
    <t>Interest</t>
  </si>
  <si>
    <t>Portfolio Investment</t>
  </si>
  <si>
    <t>Equity</t>
  </si>
  <si>
    <t xml:space="preserve">    short-term</t>
  </si>
  <si>
    <t xml:space="preserve">    long-term</t>
  </si>
  <si>
    <t xml:space="preserve">         Actual ISB coupon payments</t>
  </si>
  <si>
    <t xml:space="preserve">         Accrued ISB coupon payments</t>
  </si>
  <si>
    <t xml:space="preserve">         Actual non resident T bond payments payments</t>
  </si>
  <si>
    <t xml:space="preserve">         Actual other sectors coupon payments</t>
  </si>
  <si>
    <t xml:space="preserve">         Accrued other sectors coupon payments</t>
  </si>
  <si>
    <t>Other Investment</t>
  </si>
  <si>
    <t xml:space="preserve">        Government -  Interest Payments</t>
  </si>
  <si>
    <t xml:space="preserve">        Government - Accrued Interest </t>
  </si>
  <si>
    <t xml:space="preserve">        Central Bank -  Interest Payments</t>
  </si>
  <si>
    <t xml:space="preserve">        Central Bank - Accrued Interest</t>
  </si>
  <si>
    <t xml:space="preserve">       Commercial Bank Interest Payments</t>
  </si>
  <si>
    <t xml:space="preserve">       Other Sectors - Interest Payments</t>
  </si>
  <si>
    <t xml:space="preserve">       Other Sectors - Accrued Interest</t>
  </si>
  <si>
    <t>Reserve assets</t>
  </si>
  <si>
    <t>Other primary income</t>
  </si>
  <si>
    <t>Secondary Income</t>
  </si>
  <si>
    <t>General Government</t>
  </si>
  <si>
    <t>Financial corporations, non financial corporations, households</t>
  </si>
  <si>
    <t>Personal transfers</t>
  </si>
  <si>
    <r>
      <t>of which, worker's remittances</t>
    </r>
    <r>
      <rPr>
        <vertAlign val="superscript"/>
        <sz val="10"/>
        <color theme="1"/>
        <rFont val="Times New Roman"/>
        <family val="1"/>
      </rPr>
      <t>1</t>
    </r>
  </si>
  <si>
    <t>Other current tranfers</t>
  </si>
  <si>
    <t xml:space="preserve">Current Account </t>
  </si>
  <si>
    <t>Capital Account</t>
  </si>
  <si>
    <t>Gross acquisitions (Dr) / Disposals (Cr)</t>
  </si>
  <si>
    <t>Capital Transfers</t>
  </si>
  <si>
    <r>
      <t xml:space="preserve">General Government </t>
    </r>
    <r>
      <rPr>
        <vertAlign val="superscript"/>
        <sz val="10"/>
        <color theme="1"/>
        <rFont val="Times New Roman"/>
        <family val="1"/>
      </rPr>
      <t>2</t>
    </r>
  </si>
  <si>
    <t>Current Account + Capital Account</t>
  </si>
  <si>
    <r>
      <t>(a) The above presentation conforms as far as possible to the Balance of Payments Manual (BPM), 6</t>
    </r>
    <r>
      <rPr>
        <vertAlign val="superscript"/>
        <sz val="11"/>
        <rFont val="Times New Roman"/>
        <family val="1"/>
      </rPr>
      <t>th</t>
    </r>
    <r>
      <rPr>
        <sz val="11"/>
        <rFont val="Times New Roman"/>
        <family val="1"/>
      </rPr>
      <t xml:space="preserve"> edition (2009) of the International Monetary Fund (IMF).</t>
    </r>
  </si>
  <si>
    <t>1. Workers' remittances may include other remittances, such as those received following Cyclone Ditwah.</t>
  </si>
  <si>
    <t>2. Capital transfers to the General Government for 2025 are subject to revision.</t>
  </si>
  <si>
    <t>* Data for 2025 are provisional</t>
  </si>
  <si>
    <t>Source: Central Bank of Sri Lanka</t>
  </si>
  <si>
    <r>
      <t xml:space="preserve">Financial Account </t>
    </r>
    <r>
      <rPr>
        <b/>
        <sz val="11"/>
        <color theme="1"/>
        <rFont val="Times New Roman"/>
        <family val="1"/>
      </rPr>
      <t xml:space="preserve"> (USD mn)</t>
    </r>
  </si>
  <si>
    <t>2012 - 1st Quarter</t>
  </si>
  <si>
    <t>2012-2nd Quarter</t>
  </si>
  <si>
    <t>2012-3rd Quarter</t>
  </si>
  <si>
    <t>2012-4th Quarter</t>
  </si>
  <si>
    <t>2013 - 1 Quarter</t>
  </si>
  <si>
    <t>2013 - 2 Quarter</t>
  </si>
  <si>
    <t>2013 - 3 Quarter</t>
  </si>
  <si>
    <t>2013 - 4 Quarter</t>
  </si>
  <si>
    <t>2014 - 1 Quarter</t>
  </si>
  <si>
    <t>2014 -2 Quarter</t>
  </si>
  <si>
    <t>2014 -3 Quarter</t>
  </si>
  <si>
    <t>2014 -4 Quarter</t>
  </si>
  <si>
    <t>2015 -1 Quarter</t>
  </si>
  <si>
    <t>2015 -2 Quarter</t>
  </si>
  <si>
    <t>Net Incurrence of Liabilities</t>
  </si>
  <si>
    <t>Net Acquisition of Financial Assets</t>
  </si>
  <si>
    <t>Financial Account</t>
  </si>
  <si>
    <t>Direct Investments</t>
  </si>
  <si>
    <t>Equity and investment fund shares</t>
  </si>
  <si>
    <t>Equity other than reinvestment of earnings</t>
  </si>
  <si>
    <t>Direct investor in direct investment enterprise</t>
  </si>
  <si>
    <t xml:space="preserve">   - BOI companies</t>
  </si>
  <si>
    <t xml:space="preserve">   - CSE companies (not registered with BOI)</t>
  </si>
  <si>
    <t xml:space="preserve">   - Other companies</t>
  </si>
  <si>
    <t>Reinvestment of earnings</t>
  </si>
  <si>
    <t>Debt Instruments</t>
  </si>
  <si>
    <t xml:space="preserve">        Shareholder Advance</t>
  </si>
  <si>
    <t xml:space="preserve">        Intra Company Borrowings</t>
  </si>
  <si>
    <t xml:space="preserve">    Debt Repayments</t>
  </si>
  <si>
    <t>Portfolio Investments</t>
  </si>
  <si>
    <t xml:space="preserve">     Secondary market net foreign inflows</t>
  </si>
  <si>
    <t xml:space="preserve">     Reclassified secodary market inflows as direct investments</t>
  </si>
  <si>
    <t xml:space="preserve">     Primary market inflows</t>
  </si>
  <si>
    <t>Debt securities</t>
  </si>
  <si>
    <t>Central Bank</t>
  </si>
  <si>
    <t>Deposit taking corporations, other than the central bank</t>
  </si>
  <si>
    <t>Short-term</t>
  </si>
  <si>
    <t>Long-term</t>
  </si>
  <si>
    <t>Short-term (Treasury Bills)</t>
  </si>
  <si>
    <t xml:space="preserve">     Treasury Bonds</t>
  </si>
  <si>
    <t xml:space="preserve">     SLDBs</t>
  </si>
  <si>
    <t xml:space="preserve">     Sovereign Bonds</t>
  </si>
  <si>
    <t xml:space="preserve">       Issuances of new Sovereign Bonds</t>
  </si>
  <si>
    <t xml:space="preserve">       Maturities of non resident holdings</t>
  </si>
  <si>
    <t xml:space="preserve">       Secondary market transactions by non residents</t>
  </si>
  <si>
    <t xml:space="preserve">       Accrued Interest of ISB coupon payments</t>
  </si>
  <si>
    <t>Other Sectors</t>
  </si>
  <si>
    <t xml:space="preserve">       Issuances of new International Bonds</t>
  </si>
  <si>
    <t xml:space="preserve">       Accrued Interest of International Bonds</t>
  </si>
  <si>
    <t>Financial Derivatives</t>
  </si>
  <si>
    <t xml:space="preserve">Other investment </t>
  </si>
  <si>
    <t>Other equity</t>
  </si>
  <si>
    <t>Currency &amp; deposits</t>
  </si>
  <si>
    <t>Short term</t>
  </si>
  <si>
    <t>Long term</t>
  </si>
  <si>
    <t>International swaps</t>
  </si>
  <si>
    <t>Accrued Interest on International Swaps</t>
  </si>
  <si>
    <t>Other sectors</t>
  </si>
  <si>
    <t>Loans</t>
  </si>
  <si>
    <t>Central bank</t>
  </si>
  <si>
    <t>Credit and loans with the IMF</t>
  </si>
  <si>
    <t>Other short term</t>
  </si>
  <si>
    <t>Other long term</t>
  </si>
  <si>
    <t>Deposit taking corporations, except the Central Bank</t>
  </si>
  <si>
    <t xml:space="preserve"> Disbursements</t>
  </si>
  <si>
    <t xml:space="preserve"> Accrued Interest</t>
  </si>
  <si>
    <t xml:space="preserve"> Repayments</t>
  </si>
  <si>
    <t>Disbursements</t>
  </si>
  <si>
    <t>Repayments</t>
  </si>
  <si>
    <t>Insuarance, pension and standardised guarantee schemes</t>
  </si>
  <si>
    <t>Trade credits and advances</t>
  </si>
  <si>
    <t>Other accounts receivable/payable</t>
  </si>
  <si>
    <t>Special Drawing rights</t>
  </si>
  <si>
    <t>Monetary gold</t>
  </si>
  <si>
    <t>Special drawing rights</t>
  </si>
  <si>
    <t>Reserve position in the IMF</t>
  </si>
  <si>
    <t>Other reserve assets</t>
  </si>
  <si>
    <t>Currency and deposits</t>
  </si>
  <si>
    <t>Claims on monetary authorities</t>
  </si>
  <si>
    <t>Claims on other entities</t>
  </si>
  <si>
    <t>Securities</t>
  </si>
  <si>
    <t xml:space="preserve">        Short term</t>
  </si>
  <si>
    <t xml:space="preserve">        Long term</t>
  </si>
  <si>
    <t>Financial derivatives</t>
  </si>
  <si>
    <t>Other claims</t>
  </si>
  <si>
    <t>FINANCIAL ACCOUNT (NET) (Assets - Liabilities)</t>
  </si>
  <si>
    <t>Errors and Ommisions</t>
  </si>
  <si>
    <t xml:space="preserve">Memorandum items </t>
  </si>
  <si>
    <t>FDI including loans (According to the Board of Investment of Sri Lanka)</t>
  </si>
  <si>
    <t>Direct Investments to BOI companies</t>
  </si>
  <si>
    <t>Foreign loans from unrelated parties to BOI companies</t>
  </si>
  <si>
    <t>Monthly Average Ex rates</t>
  </si>
  <si>
    <t>USD</t>
  </si>
  <si>
    <t>TABLE  47</t>
  </si>
  <si>
    <t xml:space="preserve">End period position US$ million </t>
  </si>
  <si>
    <r>
      <t xml:space="preserve">International Investment Position </t>
    </r>
    <r>
      <rPr>
        <b/>
        <sz val="11"/>
        <color theme="1"/>
        <rFont val="Times New Roman"/>
        <family val="1"/>
      </rPr>
      <t>(USD mn)</t>
    </r>
  </si>
  <si>
    <t>31st Dec - 2012</t>
  </si>
  <si>
    <t>31st Dec - 2013</t>
  </si>
  <si>
    <t>31st Mar - 2014</t>
  </si>
  <si>
    <t>30th Jun - 2014</t>
  </si>
  <si>
    <t>30th Sep - 2014</t>
  </si>
  <si>
    <t>31st Dec - 2014</t>
  </si>
  <si>
    <t>31st Mar - 2015</t>
  </si>
  <si>
    <t>30th Jun - 2015</t>
  </si>
  <si>
    <t>30th Sep - 2015</t>
  </si>
  <si>
    <t>31st Dec - 2015</t>
  </si>
  <si>
    <t>31st Mar - 2016</t>
  </si>
  <si>
    <t>30th Jun - 2016</t>
  </si>
  <si>
    <t>30th Sep - 2016</t>
  </si>
  <si>
    <t>31st Dec - 2016</t>
  </si>
  <si>
    <t>31st Mar - 2017</t>
  </si>
  <si>
    <t>30th June - 2017</t>
  </si>
  <si>
    <t>30th Sep - 2017</t>
  </si>
  <si>
    <t>31st Dec - 2017</t>
  </si>
  <si>
    <t>31st Mar - 2018</t>
  </si>
  <si>
    <t>30th June - 2018</t>
  </si>
  <si>
    <t>30th Sep - 2018</t>
  </si>
  <si>
    <t>31st Dec - 2018</t>
  </si>
  <si>
    <t>31st Mar - 2019</t>
  </si>
  <si>
    <t>30th June - 2019</t>
  </si>
  <si>
    <t>30th Sep - 2019</t>
  </si>
  <si>
    <t>31st Dec - 2019</t>
  </si>
  <si>
    <t>31st Mar - 2020</t>
  </si>
  <si>
    <t>30th June - 2020</t>
  </si>
  <si>
    <t>30th Sep - 2020</t>
  </si>
  <si>
    <t>31st Dec - 2020</t>
  </si>
  <si>
    <t>31st Mar - 2021</t>
  </si>
  <si>
    <t>30th June - 2021</t>
  </si>
  <si>
    <t>30th Sep - 2021</t>
  </si>
  <si>
    <t>31st Dec - 2021</t>
  </si>
  <si>
    <t>31st Mar - 2022</t>
  </si>
  <si>
    <t>30th June - 2022</t>
  </si>
  <si>
    <t>30th Sep - 2022</t>
  </si>
  <si>
    <t>31st Dec - 2022</t>
  </si>
  <si>
    <t>31st Mar - 2023</t>
  </si>
  <si>
    <t>30th Jun - 2023</t>
  </si>
  <si>
    <t>30th Sep - 2023</t>
  </si>
  <si>
    <t>31st Dec - 2023</t>
  </si>
  <si>
    <t>31st Mar - 2024</t>
  </si>
  <si>
    <t>30th Jun - 2024</t>
  </si>
  <si>
    <t>30th Sep - 2024</t>
  </si>
  <si>
    <t>31st Dec - 2024</t>
  </si>
  <si>
    <t>31st Mar - 2025</t>
  </si>
  <si>
    <t>30th Jun - 2025</t>
  </si>
  <si>
    <t>31st Sep - 2025</t>
  </si>
  <si>
    <t>31st Dec - 2025</t>
  </si>
  <si>
    <t>Assets</t>
  </si>
  <si>
    <t>Liabilities</t>
  </si>
  <si>
    <t xml:space="preserve">  Equity and investment fund shares</t>
  </si>
  <si>
    <t xml:space="preserve">  Debt Instruments</t>
  </si>
  <si>
    <t xml:space="preserve">     Other Sectors</t>
  </si>
  <si>
    <t xml:space="preserve">  Debt securities</t>
  </si>
  <si>
    <t xml:space="preserve">     Deposit taking corporations</t>
  </si>
  <si>
    <t xml:space="preserve">         Long-term</t>
  </si>
  <si>
    <t xml:space="preserve">     General Government (a)</t>
  </si>
  <si>
    <t xml:space="preserve">        Short-term</t>
  </si>
  <si>
    <t xml:space="preserve">        Long-term</t>
  </si>
  <si>
    <t xml:space="preserve">  Non resident holdings of SLDBS (book value)</t>
  </si>
  <si>
    <t xml:space="preserve">  Non resident holdings of Treasury Bonds (Book Value)</t>
  </si>
  <si>
    <t xml:space="preserve">  Outstanding ISB (market value) - (proxy market price of ISBs from 2Q-2022 onwards)</t>
  </si>
  <si>
    <t xml:space="preserve">  Accrued Interest of ISB coupons</t>
  </si>
  <si>
    <t>Actual outstanding position</t>
  </si>
  <si>
    <t>Accrued outstanding position</t>
  </si>
  <si>
    <t xml:space="preserve">  Other equity</t>
  </si>
  <si>
    <t xml:space="preserve">  Currency &amp; deposits</t>
  </si>
  <si>
    <t xml:space="preserve">     Central Bank</t>
  </si>
  <si>
    <t xml:space="preserve">         Short term</t>
  </si>
  <si>
    <t xml:space="preserve">         Long term</t>
  </si>
  <si>
    <t xml:space="preserve">         Short-term</t>
  </si>
  <si>
    <t xml:space="preserve">    Central bank</t>
  </si>
  <si>
    <t xml:space="preserve">        Credit and loans with the IMF</t>
  </si>
  <si>
    <t xml:space="preserve">    Deposit taking corporations</t>
  </si>
  <si>
    <t xml:space="preserve">    General Government</t>
  </si>
  <si>
    <t xml:space="preserve"> Credit and loans with the IMF</t>
  </si>
  <si>
    <t xml:space="preserve"> Current outstanding liability position</t>
  </si>
  <si>
    <t xml:space="preserve"> Accrued interest of project loans (April 2022 onwards)</t>
  </si>
  <si>
    <t xml:space="preserve">    Other sectors</t>
  </si>
  <si>
    <t xml:space="preserve">  Insurance guarantee schemes</t>
  </si>
  <si>
    <t xml:space="preserve">  Trade credits and advances</t>
  </si>
  <si>
    <t xml:space="preserve">  Other accounts receivable/payable</t>
  </si>
  <si>
    <t xml:space="preserve">       Short term</t>
  </si>
  <si>
    <t xml:space="preserve">   Monetary gold</t>
  </si>
  <si>
    <t xml:space="preserve">   Special drawing rights</t>
  </si>
  <si>
    <t xml:space="preserve">   Reserve position in the IMF</t>
  </si>
  <si>
    <t xml:space="preserve">  Other reserve assets</t>
  </si>
  <si>
    <t xml:space="preserve">      Currency and deposits</t>
  </si>
  <si>
    <t xml:space="preserve">          Claims on monetary authorities</t>
  </si>
  <si>
    <t xml:space="preserve">          Claims on other entities</t>
  </si>
  <si>
    <t xml:space="preserve">     Securities</t>
  </si>
  <si>
    <t xml:space="preserve">         Debt securities</t>
  </si>
  <si>
    <t>Total Assets / Liabilities</t>
  </si>
  <si>
    <t xml:space="preserve">IIP - Instrumentwise Breakdown </t>
  </si>
  <si>
    <t>Equity and Investment Fund Shares</t>
  </si>
  <si>
    <t xml:space="preserve">    Special Drawing Rights</t>
  </si>
  <si>
    <t xml:space="preserve">    Currency and deposits</t>
  </si>
  <si>
    <t xml:space="preserve">    Debt Securities</t>
  </si>
  <si>
    <t xml:space="preserve">    Loans</t>
  </si>
  <si>
    <t xml:space="preserve">    Other Accounts Receivable</t>
  </si>
  <si>
    <t xml:space="preserve">    Other financial assets and liabilities</t>
  </si>
  <si>
    <t>IIP- Maturitywise Breakdown</t>
  </si>
  <si>
    <t>Deposit-Taking Corporations</t>
  </si>
  <si>
    <t xml:space="preserve">Other Sectors </t>
  </si>
  <si>
    <t>IIP- Sectorwise Breakdown</t>
  </si>
  <si>
    <t>Net International Reserves</t>
  </si>
  <si>
    <t>Overall Balance (from end of previous year)</t>
  </si>
  <si>
    <t>TABLE  48</t>
  </si>
  <si>
    <t>End of Period</t>
  </si>
  <si>
    <t>Frequency</t>
  </si>
  <si>
    <t>Government</t>
  </si>
  <si>
    <t>Gross Official Reserves</t>
  </si>
  <si>
    <t>Commercial Banks</t>
  </si>
  <si>
    <t>Total International Reserves (3+5)</t>
  </si>
  <si>
    <t>Change in Gross Official Reserves</t>
  </si>
  <si>
    <t>Change in Total International Reserves</t>
  </si>
  <si>
    <t>Value</t>
  </si>
  <si>
    <t xml:space="preserve">Months of </t>
  </si>
  <si>
    <t>Imports (a)</t>
  </si>
  <si>
    <t>Annual</t>
  </si>
  <si>
    <t>Q1-2015</t>
  </si>
  <si>
    <t>Quarterly</t>
  </si>
  <si>
    <t>Q2-2015</t>
  </si>
  <si>
    <t>Q3-2015</t>
  </si>
  <si>
    <t>Q4-2015</t>
  </si>
  <si>
    <t>Q1-2016</t>
  </si>
  <si>
    <t>Q2-2016</t>
  </si>
  <si>
    <t>Q3-2016</t>
  </si>
  <si>
    <t>Q4-2016</t>
  </si>
  <si>
    <t>Q1-2017</t>
  </si>
  <si>
    <t>Q2-2017</t>
  </si>
  <si>
    <t>Q3-2017</t>
  </si>
  <si>
    <t>Q4-2017</t>
  </si>
  <si>
    <t>Q1-2018</t>
  </si>
  <si>
    <t>Q2-2018</t>
  </si>
  <si>
    <t>Q3-2018</t>
  </si>
  <si>
    <t>Q4-2018</t>
  </si>
  <si>
    <t>Q1-2019</t>
  </si>
  <si>
    <t>Q2-2019</t>
  </si>
  <si>
    <t>Q3-2019</t>
  </si>
  <si>
    <t>Q4-2019</t>
  </si>
  <si>
    <t>Q1-2020</t>
  </si>
  <si>
    <t>Q2-2020</t>
  </si>
  <si>
    <t>Q3-2020</t>
  </si>
  <si>
    <t>Q4-2020</t>
  </si>
  <si>
    <t>Q1-2021</t>
  </si>
  <si>
    <t>Q2-2021</t>
  </si>
  <si>
    <t>Q3-2021</t>
  </si>
  <si>
    <t>Q4-2021</t>
  </si>
  <si>
    <t>Q1-2022</t>
  </si>
  <si>
    <t>Q2-2022</t>
  </si>
  <si>
    <t>Q3-2022</t>
  </si>
  <si>
    <t>Q4-2022</t>
  </si>
  <si>
    <t>Q1-2023</t>
  </si>
  <si>
    <t>Q2-2023</t>
  </si>
  <si>
    <t>Q3-2023</t>
  </si>
  <si>
    <t>Q4-2023</t>
  </si>
  <si>
    <t>Q1-2024</t>
  </si>
  <si>
    <t>Q2-2024</t>
  </si>
  <si>
    <t>Q3-2024</t>
  </si>
  <si>
    <t>Q4-2024</t>
  </si>
  <si>
    <t>Q1-2025</t>
  </si>
  <si>
    <t>Q2-2025</t>
  </si>
  <si>
    <t>Q3-2025</t>
  </si>
  <si>
    <t>Q4-2025</t>
  </si>
  <si>
    <t>Q1-2026</t>
  </si>
  <si>
    <t>Monthly</t>
  </si>
  <si>
    <t>NA</t>
  </si>
  <si>
    <t xml:space="preserve">  Source: Central Bank of Sri Lanka</t>
  </si>
  <si>
    <t>(a) Available reserves are sufficient to finance the given number of months of imports.</t>
  </si>
  <si>
    <t>TABLE  49</t>
  </si>
  <si>
    <t>Rupees per 100 units of Foreign Currency</t>
  </si>
  <si>
    <t>Monthly Index (Average)</t>
  </si>
  <si>
    <t>US Dollar</t>
  </si>
  <si>
    <t xml:space="preserve">UK </t>
  </si>
  <si>
    <t>Euro</t>
  </si>
  <si>
    <t>Japanese</t>
  </si>
  <si>
    <t>Indian</t>
  </si>
  <si>
    <t>SDR</t>
  </si>
  <si>
    <t xml:space="preserve">NEER (b) </t>
  </si>
  <si>
    <t>REER (c)</t>
  </si>
  <si>
    <t>Pound</t>
  </si>
  <si>
    <t>Yen</t>
  </si>
  <si>
    <t>Rupees</t>
  </si>
  <si>
    <t>(a)</t>
  </si>
  <si>
    <t>(2017 = 100)</t>
  </si>
  <si>
    <t>Q1-2010</t>
  </si>
  <si>
    <t>Q2-2010</t>
  </si>
  <si>
    <t>Q3-2010</t>
  </si>
  <si>
    <t>Q4-2010</t>
  </si>
  <si>
    <t>Q1-2011</t>
  </si>
  <si>
    <t>Q2-2011</t>
  </si>
  <si>
    <t>Q3-2011</t>
  </si>
  <si>
    <t>Q4-2011</t>
  </si>
  <si>
    <t>Q1-2012</t>
  </si>
  <si>
    <t>Q2-2012</t>
  </si>
  <si>
    <t>Q3-2012</t>
  </si>
  <si>
    <t>Q4-2012</t>
  </si>
  <si>
    <t>Q1-2013</t>
  </si>
  <si>
    <t>Q2-2013</t>
  </si>
  <si>
    <t>Q3-2013</t>
  </si>
  <si>
    <t>Q4-2013</t>
  </si>
  <si>
    <t>Q1-2014</t>
  </si>
  <si>
    <t>Q2-2014</t>
  </si>
  <si>
    <t>Q3-2014</t>
  </si>
  <si>
    <t>Q4-2014</t>
  </si>
  <si>
    <t>73.86 (d)</t>
  </si>
  <si>
    <t>72.58 (d)</t>
  </si>
  <si>
    <t>72.64 (d)</t>
  </si>
  <si>
    <t>73.54 (d)</t>
  </si>
  <si>
    <t>(a) Special Drawing Rights, the unit of account of the International Monetary Fund</t>
  </si>
  <si>
    <t xml:space="preserve">(b) The NEER is a weighted average of nominal exchange rates of 24 trading partner  </t>
  </si>
  <si>
    <t xml:space="preserve">      and competitor countries. Weights are based on the trade shares reflecting the </t>
  </si>
  <si>
    <t xml:space="preserve">       relative importance of each currency in the currency basket.</t>
  </si>
  <si>
    <t xml:space="preserve">(c) The REER is computed by adjusting the NEER for inflation differentials ( based on CCPI) with the  </t>
  </si>
  <si>
    <t xml:space="preserve">      countries whose currencies are included in the basket.</t>
  </si>
  <si>
    <t>(d) Revised based on the rebased CPI figures of several trading partner countries included in the currency basket</t>
  </si>
  <si>
    <t>TABLE  50</t>
  </si>
  <si>
    <t>Forward Volume  (USD mn)</t>
  </si>
  <si>
    <t>Annualised Forward Premium (as % of spot) (a)</t>
  </si>
  <si>
    <t>Annualised Interest Differential (as % of spot)</t>
  </si>
  <si>
    <t>Below 1 Month</t>
  </si>
  <si>
    <t xml:space="preserve">1 Month </t>
  </si>
  <si>
    <t xml:space="preserve">2 Months </t>
  </si>
  <si>
    <t xml:space="preserve">3 Months </t>
  </si>
  <si>
    <t xml:space="preserve">Over 3 Months </t>
  </si>
  <si>
    <t>1 Month (%)</t>
  </si>
  <si>
    <t>3 Months (%)</t>
  </si>
  <si>
    <t>2025 (b)</t>
  </si>
  <si>
    <t>Q1-2007</t>
  </si>
  <si>
    <t>Q2-2007</t>
  </si>
  <si>
    <t>Q3-2007</t>
  </si>
  <si>
    <t>Q4-2007</t>
  </si>
  <si>
    <t>Q1-2008</t>
  </si>
  <si>
    <t>Q2-2008</t>
  </si>
  <si>
    <t>Q3-2008</t>
  </si>
  <si>
    <t>Q4-2008</t>
  </si>
  <si>
    <t>Q1-2009</t>
  </si>
  <si>
    <t>Q2-2009</t>
  </si>
  <si>
    <t>Q3-2009</t>
  </si>
  <si>
    <t>Q4-2009</t>
  </si>
  <si>
    <t>Q1-2025 (b)</t>
  </si>
  <si>
    <t>Q2-2025 (b)</t>
  </si>
  <si>
    <t>Q3-2025 (b)</t>
  </si>
  <si>
    <t>Q4-2025 (b)</t>
  </si>
  <si>
    <t>Q1-2026 (b)</t>
  </si>
  <si>
    <t>Jan-26 (b)</t>
  </si>
  <si>
    <t>Feb-26 (b)</t>
  </si>
  <si>
    <t>Mar-26 (b)</t>
  </si>
  <si>
    <t>Apr-26 (b)</t>
  </si>
  <si>
    <t>TABLE  46 (Cont.)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</si>
</sst>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0_);_(* \(#,##0\);_(* &quot;-&quot;_);_(@_)"/>
    <numFmt numFmtId="44" formatCode="_(&quot;$&quot;* #,##0.00_);_(&quot;$&quot;* \(#,##0.00\);_(&quot;$&quot;* &quot;-&quot;??_);_(@_)"/>
    <numFmt numFmtId="43" formatCode="_(* #,##0.00_);_(* \(#,##0.00\);_(* &quot;-&quot;??_);_(@_)"/>
    <numFmt numFmtId="164" formatCode="_(* #,##0.00_);_(* \(#,##0.00\);_(* \-??_);_(@_)"/>
    <numFmt numFmtId="165" formatCode="_(* #,##0_);_(* \(#,##0\);_(* &quot;-&quot;??_);_(@_)"/>
    <numFmt numFmtId="166" formatCode="#,##0.0"/>
    <numFmt numFmtId="167" formatCode="0.0"/>
    <numFmt numFmtId="168" formatCode="_-* #,##0.00_-;\-* #,##0.00_-;_-* &quot;-&quot;??_-;_-@_-"/>
    <numFmt numFmtId="169" formatCode="#,##0.00\ ;\-#,##0.00\ ;&quot; -&quot;#\ ;@\ "/>
    <numFmt numFmtId="170" formatCode="_-* #,##0.00_-;\-* #,##0.00_-;_-* \-??_-;_-@_-"/>
    <numFmt numFmtId="171" formatCode="mmm\ dd"/>
    <numFmt numFmtId="172" formatCode="yyyy\-mmm"/>
    <numFmt numFmtId="173" formatCode="0.0_)"/>
    <numFmt numFmtId="174" formatCode="#,##0;[Red]#,##0"/>
    <numFmt numFmtId="175" formatCode="#,##0.00;[Red]#,##0.00"/>
    <numFmt numFmtId="176" formatCode="#,##0.000000"/>
    <numFmt numFmtId="177" formatCode="_(* #,##0.0_);_(* \(#,##0.0\);_(* &quot;-&quot;_);_(@_)"/>
    <numFmt numFmtId="178" formatCode="_(* #,##0.0_);_(* \(#,##0.0\);_(* &quot;-&quot;??_);_(@_)"/>
    <numFmt numFmtId="179" formatCode="_(* #,##0.00_);_(* \(#,##0.00\);_(* &quot;-&quot;_);_(@_)"/>
    <numFmt numFmtId="180" formatCode="#,##0.000"/>
    <numFmt numFmtId="181" formatCode="_(* #,##0.0000000000000000_);_(* \(#,##0.0000000000000000\);_(* &quot;-&quot;?_);_(@_)"/>
    <numFmt numFmtId="182" formatCode="_(* #,##0.0_);_(* \(#,##0.0\);_(* &quot;-&quot;?_);_(@_)"/>
  </numFmts>
  <fonts count="44" x14ac:knownFonts="1">
    <font>
      <sz val="11"/>
      <color theme="1"/>
      <name val="Aptos Narrow"/>
      <family val="2"/>
      <scheme val="minor"/>
    </font>
    <font>
      <sz val="11"/>
      <color theme="1"/>
      <name val="Aptos Narrow"/>
      <family val="2"/>
      <scheme val="minor"/>
    </font>
    <font>
      <sz val="10"/>
      <color rgb="FF000000"/>
      <name val="Times New Roman"/>
      <family val="1"/>
    </font>
    <font>
      <b/>
      <sz val="12"/>
      <color theme="1"/>
      <name val="Times New Roman"/>
      <family val="1"/>
    </font>
    <font>
      <sz val="10"/>
      <name val="Arial"/>
      <family val="2"/>
    </font>
    <font>
      <b/>
      <sz val="12"/>
      <name val="Times New Roman"/>
      <family val="1"/>
    </font>
    <font>
      <sz val="12"/>
      <name val="Times New Roman"/>
      <family val="1"/>
    </font>
    <font>
      <sz val="10"/>
      <name val="Times New Roman"/>
      <family val="1"/>
    </font>
    <font>
      <b/>
      <sz val="10"/>
      <name val="Times New Roman"/>
      <family val="1"/>
    </font>
    <font>
      <i/>
      <sz val="10"/>
      <name val="Times New Roman"/>
      <family val="1"/>
    </font>
    <font>
      <sz val="11"/>
      <color indexed="8"/>
      <name val="Calibri"/>
      <family val="2"/>
    </font>
    <font>
      <sz val="12"/>
      <name val="Arial"/>
      <family val="2"/>
    </font>
    <font>
      <sz val="10"/>
      <color theme="1"/>
      <name val="Times New Roman"/>
      <family val="1"/>
    </font>
    <font>
      <i/>
      <sz val="10"/>
      <color theme="1"/>
      <name val="Times New Roman"/>
      <family val="1"/>
    </font>
    <font>
      <b/>
      <sz val="11"/>
      <name val="Times New Roman"/>
      <family val="1"/>
    </font>
    <font>
      <u/>
      <sz val="11"/>
      <color theme="10"/>
      <name val="Aptos Narrow"/>
      <family val="2"/>
      <scheme val="minor"/>
    </font>
    <font>
      <b/>
      <sz val="16"/>
      <name val="Times New Roman"/>
      <family val="1"/>
    </font>
    <font>
      <b/>
      <sz val="14"/>
      <name val="Times New Roman"/>
      <family val="1"/>
    </font>
    <font>
      <b/>
      <u/>
      <sz val="12"/>
      <color rgb="FFFF0000"/>
      <name val="Times New Roman"/>
      <family val="1"/>
    </font>
    <font>
      <sz val="8"/>
      <name val="Aptos Narrow"/>
      <family val="2"/>
      <scheme val="minor"/>
    </font>
    <font>
      <b/>
      <u/>
      <sz val="11"/>
      <color rgb="FFFF0000"/>
      <name val="Times New Roman"/>
      <family val="1"/>
    </font>
    <font>
      <b/>
      <sz val="10"/>
      <color theme="1"/>
      <name val="Times New Roman"/>
      <family val="1"/>
    </font>
    <font>
      <b/>
      <sz val="14"/>
      <color theme="1"/>
      <name val="Times New Roman"/>
      <family val="1"/>
    </font>
    <font>
      <sz val="10"/>
      <color indexed="8"/>
      <name val="Times New Roman"/>
      <family val="1"/>
    </font>
    <font>
      <sz val="10"/>
      <color indexed="8"/>
      <name val="Arial"/>
      <family val="2"/>
    </font>
    <font>
      <sz val="10"/>
      <color indexed="10"/>
      <name val="Times New Roman"/>
      <family val="1"/>
    </font>
    <font>
      <sz val="11"/>
      <color theme="1"/>
      <name val="Times New Roman"/>
      <family val="1"/>
    </font>
    <font>
      <b/>
      <sz val="10"/>
      <color indexed="8"/>
      <name val="Times New Roman"/>
      <family val="1"/>
    </font>
    <font>
      <sz val="12"/>
      <color indexed="8"/>
      <name val="Times New Roman"/>
      <family val="1"/>
    </font>
    <font>
      <sz val="8"/>
      <name val="Times New Roman"/>
      <family val="1"/>
    </font>
    <font>
      <b/>
      <sz val="14"/>
      <color indexed="8"/>
      <name val="Times New Roman"/>
      <family val="1"/>
    </font>
    <font>
      <sz val="12"/>
      <color theme="1"/>
      <name val="Times New Roman"/>
      <family val="1"/>
    </font>
    <font>
      <sz val="10"/>
      <color rgb="FFFF0000"/>
      <name val="Times New Roman"/>
      <family val="1"/>
    </font>
    <font>
      <u/>
      <sz val="12"/>
      <color theme="10"/>
      <name val="Arial"/>
      <family val="2"/>
    </font>
    <font>
      <b/>
      <sz val="11"/>
      <color theme="1"/>
      <name val="Times New Roman"/>
      <family val="1"/>
    </font>
    <font>
      <i/>
      <sz val="9"/>
      <color theme="1"/>
      <name val="Times New Roman"/>
      <family val="1"/>
    </font>
    <font>
      <sz val="11"/>
      <name val="Times New Roman"/>
      <family val="1"/>
    </font>
    <font>
      <b/>
      <sz val="13"/>
      <color theme="1"/>
      <name val="Times New Roman"/>
      <family val="1"/>
    </font>
    <font>
      <vertAlign val="superscript"/>
      <sz val="10"/>
      <color theme="1"/>
      <name val="Times New Roman"/>
      <family val="1"/>
    </font>
    <font>
      <vertAlign val="superscript"/>
      <sz val="11"/>
      <name val="Times New Roman"/>
      <family val="1"/>
    </font>
    <font>
      <b/>
      <sz val="10.5"/>
      <color theme="1"/>
      <name val="Times New Roman"/>
      <family val="1"/>
    </font>
    <font>
      <b/>
      <sz val="10.5"/>
      <name val="Times New Roman"/>
      <family val="1"/>
    </font>
    <font>
      <sz val="9"/>
      <color theme="1"/>
      <name val="Times New Roman"/>
      <family val="1"/>
    </font>
    <font>
      <i/>
      <sz val="11"/>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39">
    <border>
      <left/>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right/>
      <top style="thin">
        <color auto="1"/>
      </top>
      <bottom style="thin">
        <color auto="1"/>
      </bottom>
      <diagonal/>
    </border>
    <border>
      <left/>
      <right/>
      <top/>
      <bottom style="thin">
        <color auto="1"/>
      </bottom>
      <diagonal/>
    </border>
    <border>
      <left/>
      <right/>
      <top/>
      <bottom style="medium">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style="thin">
        <color indexed="64"/>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64"/>
      </right>
      <top/>
      <bottom style="thin">
        <color indexed="8"/>
      </bottom>
      <diagonal/>
    </border>
    <border>
      <left style="thin">
        <color indexed="8"/>
      </left>
      <right/>
      <top/>
      <bottom/>
      <diagonal/>
    </border>
    <border>
      <left style="thin">
        <color indexed="8"/>
      </left>
      <right style="thin">
        <color indexed="64"/>
      </right>
      <top/>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2" fillId="0" borderId="0"/>
    <xf numFmtId="0" fontId="4" fillId="0" borderId="0"/>
    <xf numFmtId="164" fontId="4" fillId="0" borderId="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10" fillId="0" borderId="0" applyFont="0" applyFill="0" applyBorder="0" applyAlignment="0" applyProtection="0"/>
    <xf numFmtId="0" fontId="11" fillId="0" borderId="0"/>
    <xf numFmtId="43" fontId="4" fillId="0" borderId="0" applyFill="0" applyBorder="0" applyAlignment="0" applyProtection="0"/>
    <xf numFmtId="43" fontId="1" fillId="0" borderId="0" applyFont="0" applyFill="0" applyBorder="0" applyAlignment="0" applyProtection="0"/>
    <xf numFmtId="0" fontId="10" fillId="0" borderId="0"/>
    <xf numFmtId="164" fontId="4" fillId="0" borderId="0" applyFill="0" applyBorder="0" applyAlignment="0" applyProtection="0"/>
    <xf numFmtId="9" fontId="4" fillId="0" borderId="0" applyFill="0" applyBorder="0" applyAlignment="0" applyProtection="0"/>
    <xf numFmtId="0" fontId="4" fillId="0" borderId="0"/>
    <xf numFmtId="0" fontId="4" fillId="0" borderId="0"/>
    <xf numFmtId="0" fontId="1" fillId="0" borderId="0"/>
    <xf numFmtId="169" fontId="4" fillId="0" borderId="0" applyFill="0" applyBorder="0" applyAlignment="0" applyProtection="0"/>
    <xf numFmtId="43" fontId="1" fillId="0" borderId="0" applyFont="0" applyFill="0" applyBorder="0" applyAlignment="0" applyProtection="0"/>
    <xf numFmtId="0" fontId="1" fillId="0" borderId="0"/>
    <xf numFmtId="0" fontId="4" fillId="0" borderId="0"/>
    <xf numFmtId="170" fontId="4" fillId="0" borderId="0" applyFill="0" applyBorder="0" applyAlignment="0" applyProtection="0"/>
    <xf numFmtId="168" fontId="4" fillId="0" borderId="0" applyFont="0" applyFill="0" applyBorder="0" applyAlignment="0" applyProtection="0"/>
    <xf numFmtId="0" fontId="4" fillId="0" borderId="0"/>
    <xf numFmtId="171" fontId="4" fillId="0" borderId="0" applyFill="0" applyBorder="0" applyAlignment="0" applyProtection="0"/>
    <xf numFmtId="0" fontId="15" fillId="0" borderId="0" applyNumberFormat="0" applyFill="0" applyBorder="0" applyAlignment="0" applyProtection="0"/>
    <xf numFmtId="168" fontId="1" fillId="0" borderId="0" applyFont="0" applyFill="0" applyBorder="0" applyAlignment="0" applyProtection="0"/>
    <xf numFmtId="0" fontId="4" fillId="0" borderId="0"/>
    <xf numFmtId="0" fontId="1" fillId="0" borderId="0"/>
    <xf numFmtId="0" fontId="1" fillId="0" borderId="0"/>
    <xf numFmtId="0" fontId="11" fillId="0" borderId="0"/>
    <xf numFmtId="0" fontId="4" fillId="0" borderId="0"/>
    <xf numFmtId="168" fontId="10" fillId="0" borderId="0" applyFont="0" applyFill="0" applyBorder="0" applyAlignment="0" applyProtection="0"/>
    <xf numFmtId="0" fontId="1" fillId="0" borderId="0"/>
    <xf numFmtId="43" fontId="1" fillId="0" borderId="0" applyFont="0" applyFill="0" applyBorder="0" applyAlignment="0" applyProtection="0"/>
    <xf numFmtId="0" fontId="24" fillId="0" borderId="0"/>
    <xf numFmtId="0" fontId="24" fillId="0" borderId="0" applyNumberFormat="0" applyFill="0" applyBorder="0" applyAlignment="0" applyProtection="0"/>
    <xf numFmtId="0" fontId="33" fillId="0" borderId="0" applyNumberFormat="0" applyFill="0" applyBorder="0" applyAlignment="0" applyProtection="0"/>
    <xf numFmtId="43" fontId="11" fillId="0" borderId="0" applyFont="0" applyFill="0" applyBorder="0" applyAlignment="0" applyProtection="0"/>
    <xf numFmtId="0" fontId="1" fillId="0" borderId="0"/>
    <xf numFmtId="0" fontId="11" fillId="0" borderId="0"/>
    <xf numFmtId="164" fontId="11" fillId="0" borderId="0" applyFill="0" applyBorder="0" applyAlignment="0" applyProtection="0"/>
  </cellStyleXfs>
  <cellXfs count="633">
    <xf numFmtId="0" fontId="0" fillId="0" borderId="0" xfId="0"/>
    <xf numFmtId="0" fontId="5" fillId="0" borderId="0" xfId="0" applyFont="1" applyAlignment="1">
      <alignment horizontal="center"/>
    </xf>
    <xf numFmtId="0" fontId="6" fillId="0" borderId="0" xfId="0" applyFont="1"/>
    <xf numFmtId="0" fontId="5" fillId="0" borderId="0" xfId="0" applyFont="1" applyAlignment="1">
      <alignment horizontal="center" wrapText="1"/>
    </xf>
    <xf numFmtId="0" fontId="6" fillId="3" borderId="0" xfId="0" applyFont="1" applyFill="1" applyAlignment="1">
      <alignment horizontal="center"/>
    </xf>
    <xf numFmtId="0" fontId="5" fillId="0" borderId="0" xfId="0" applyFont="1" applyAlignment="1">
      <alignment horizontal="left" wrapText="1"/>
    </xf>
    <xf numFmtId="0" fontId="5" fillId="2" borderId="0" xfId="0" applyFont="1" applyFill="1" applyAlignment="1">
      <alignment horizontal="center" wrapText="1"/>
    </xf>
    <xf numFmtId="0" fontId="6" fillId="0" borderId="0" xfId="0" applyFont="1" applyAlignment="1">
      <alignment horizontal="center"/>
    </xf>
    <xf numFmtId="167" fontId="7" fillId="0" borderId="4" xfId="15" applyNumberFormat="1" applyFont="1" applyBorder="1" applyAlignment="1">
      <alignment horizontal="left"/>
    </xf>
    <xf numFmtId="167" fontId="7" fillId="3" borderId="4" xfId="15" applyNumberFormat="1" applyFont="1" applyFill="1" applyBorder="1" applyAlignment="1">
      <alignment horizontal="left"/>
    </xf>
    <xf numFmtId="172" fontId="7" fillId="3" borderId="4" xfId="15" applyNumberFormat="1" applyFont="1" applyFill="1" applyBorder="1" applyAlignment="1">
      <alignment horizontal="left"/>
    </xf>
    <xf numFmtId="172" fontId="7" fillId="0" borderId="4" xfId="15" applyNumberFormat="1" applyFont="1" applyBorder="1" applyAlignment="1">
      <alignment horizontal="left"/>
    </xf>
    <xf numFmtId="167" fontId="7" fillId="3" borderId="4" xfId="15" applyNumberFormat="1" applyFont="1" applyFill="1" applyBorder="1" applyAlignment="1">
      <alignment horizontal="center"/>
    </xf>
    <xf numFmtId="0" fontId="5" fillId="0" borderId="0" xfId="15" applyFont="1"/>
    <xf numFmtId="0" fontId="3" fillId="0" borderId="0" xfId="15" applyFont="1"/>
    <xf numFmtId="0" fontId="5" fillId="0" borderId="0" xfId="15" applyFont="1" applyAlignment="1">
      <alignment horizontal="right"/>
    </xf>
    <xf numFmtId="0" fontId="6" fillId="0" borderId="0" xfId="15" applyFont="1"/>
    <xf numFmtId="0" fontId="20" fillId="0" borderId="0" xfId="26" applyFont="1" applyFill="1" applyAlignment="1">
      <alignment horizontal="right"/>
    </xf>
    <xf numFmtId="0" fontId="21" fillId="0" borderId="8" xfId="15" applyFont="1" applyBorder="1" applyAlignment="1">
      <alignment horizontal="center" vertical="center"/>
    </xf>
    <xf numFmtId="0" fontId="7" fillId="0" borderId="0" xfId="15" applyFont="1"/>
    <xf numFmtId="0" fontId="21" fillId="0" borderId="8" xfId="15" applyFont="1" applyBorder="1" applyAlignment="1">
      <alignment horizontal="center" vertical="center" wrapText="1"/>
    </xf>
    <xf numFmtId="3" fontId="7" fillId="0" borderId="5" xfId="15" applyNumberFormat="1" applyFont="1" applyBorder="1"/>
    <xf numFmtId="3" fontId="7" fillId="0" borderId="4" xfId="15" applyNumberFormat="1" applyFont="1" applyBorder="1"/>
    <xf numFmtId="3" fontId="7" fillId="0" borderId="10" xfId="15" applyNumberFormat="1" applyFont="1" applyBorder="1"/>
    <xf numFmtId="0" fontId="4" fillId="0" borderId="0" xfId="15"/>
    <xf numFmtId="166" fontId="4" fillId="0" borderId="5" xfId="7" applyNumberFormat="1" applyFont="1" applyFill="1" applyBorder="1"/>
    <xf numFmtId="166" fontId="4" fillId="0" borderId="4" xfId="7" applyNumberFormat="1" applyFont="1" applyFill="1" applyBorder="1"/>
    <xf numFmtId="166" fontId="4" fillId="0" borderId="10" xfId="7" applyNumberFormat="1" applyFont="1" applyFill="1" applyBorder="1"/>
    <xf numFmtId="3" fontId="7" fillId="0" borderId="10" xfId="7" applyNumberFormat="1" applyFont="1" applyFill="1" applyBorder="1"/>
    <xf numFmtId="3" fontId="7" fillId="0" borderId="4" xfId="7" applyNumberFormat="1" applyFont="1" applyFill="1" applyBorder="1"/>
    <xf numFmtId="0" fontId="12" fillId="0" borderId="0" xfId="15" applyFont="1"/>
    <xf numFmtId="0" fontId="12" fillId="0" borderId="0" xfId="15" applyFont="1" applyAlignment="1">
      <alignment horizontal="center"/>
    </xf>
    <xf numFmtId="3" fontId="7" fillId="0" borderId="0" xfId="15" applyNumberFormat="1" applyFont="1"/>
    <xf numFmtId="0" fontId="22" fillId="0" borderId="0" xfId="15" applyFont="1" applyAlignment="1">
      <alignment horizontal="center"/>
    </xf>
    <xf numFmtId="0" fontId="7" fillId="0" borderId="4" xfId="15" quotePrefix="1" applyFont="1" applyBorder="1" applyAlignment="1">
      <alignment horizontal="left"/>
    </xf>
    <xf numFmtId="0" fontId="7" fillId="3" borderId="4" xfId="15" quotePrefix="1" applyFont="1" applyFill="1" applyBorder="1" applyAlignment="1">
      <alignment horizontal="left"/>
    </xf>
    <xf numFmtId="3" fontId="7" fillId="3" borderId="5" xfId="15" applyNumberFormat="1" applyFont="1" applyFill="1" applyBorder="1"/>
    <xf numFmtId="3" fontId="7" fillId="3" borderId="4" xfId="15" applyNumberFormat="1" applyFont="1" applyFill="1" applyBorder="1"/>
    <xf numFmtId="3" fontId="7" fillId="3" borderId="10" xfId="15" applyNumberFormat="1" applyFont="1" applyFill="1" applyBorder="1"/>
    <xf numFmtId="1" fontId="7" fillId="3" borderId="4" xfId="15" applyNumberFormat="1" applyFont="1" applyFill="1" applyBorder="1" applyAlignment="1">
      <alignment horizontal="right"/>
    </xf>
    <xf numFmtId="3" fontId="7" fillId="3" borderId="10" xfId="7" applyNumberFormat="1" applyFont="1" applyFill="1" applyBorder="1"/>
    <xf numFmtId="3" fontId="7" fillId="3" borderId="0" xfId="15" applyNumberFormat="1" applyFont="1" applyFill="1"/>
    <xf numFmtId="1" fontId="7" fillId="0" borderId="5" xfId="15" applyNumberFormat="1" applyFont="1" applyBorder="1" applyAlignment="1">
      <alignment horizontal="right"/>
    </xf>
    <xf numFmtId="0" fontId="14" fillId="2" borderId="0" xfId="0" applyFont="1" applyFill="1" applyAlignment="1">
      <alignment vertical="center" wrapText="1"/>
    </xf>
    <xf numFmtId="0" fontId="8" fillId="0" borderId="14" xfId="2" applyFont="1" applyBorder="1" applyAlignment="1">
      <alignment horizontal="center"/>
    </xf>
    <xf numFmtId="173" fontId="23" fillId="0" borderId="4" xfId="2" applyNumberFormat="1" applyFont="1" applyBorder="1"/>
    <xf numFmtId="3" fontId="23" fillId="0" borderId="10" xfId="8" applyNumberFormat="1" applyFont="1" applyFill="1" applyBorder="1"/>
    <xf numFmtId="0" fontId="23" fillId="0" borderId="4" xfId="36" applyFont="1" applyBorder="1"/>
    <xf numFmtId="3" fontId="26" fillId="0" borderId="4" xfId="0" applyNumberFormat="1" applyFont="1" applyBorder="1"/>
    <xf numFmtId="0" fontId="27" fillId="0" borderId="14" xfId="36" applyFont="1" applyBorder="1"/>
    <xf numFmtId="166" fontId="23" fillId="0" borderId="4" xfId="8" applyNumberFormat="1" applyFont="1" applyFill="1" applyBorder="1"/>
    <xf numFmtId="16" fontId="8" fillId="0" borderId="13" xfId="2" applyNumberFormat="1" applyFont="1" applyBorder="1" applyAlignment="1">
      <alignment horizontal="center"/>
    </xf>
    <xf numFmtId="0" fontId="7" fillId="0" borderId="0" xfId="2" applyFont="1"/>
    <xf numFmtId="0" fontId="7" fillId="0" borderId="0" xfId="2" applyFont="1" applyAlignment="1">
      <alignment horizontal="left"/>
    </xf>
    <xf numFmtId="0" fontId="5" fillId="0" borderId="0" xfId="15" applyFont="1" applyAlignment="1">
      <alignment horizontal="left"/>
    </xf>
    <xf numFmtId="0" fontId="5" fillId="0" borderId="0" xfId="15" applyFont="1" applyAlignment="1">
      <alignment horizontal="center"/>
    </xf>
    <xf numFmtId="0" fontId="18" fillId="0" borderId="0" xfId="26" applyFont="1" applyFill="1" applyAlignment="1">
      <alignment horizontal="right"/>
    </xf>
    <xf numFmtId="43" fontId="7" fillId="3" borderId="5" xfId="7" applyFont="1" applyFill="1" applyBorder="1"/>
    <xf numFmtId="43" fontId="7" fillId="3" borderId="4" xfId="7" applyFont="1" applyFill="1" applyBorder="1"/>
    <xf numFmtId="43" fontId="7" fillId="3" borderId="4" xfId="7" applyFont="1" applyFill="1" applyBorder="1" applyAlignment="1">
      <alignment horizontal="center"/>
    </xf>
    <xf numFmtId="43" fontId="7" fillId="0" borderId="5" xfId="7" applyFont="1" applyFill="1" applyBorder="1"/>
    <xf numFmtId="43" fontId="7" fillId="0" borderId="4" xfId="7" applyFont="1" applyFill="1" applyBorder="1"/>
    <xf numFmtId="43" fontId="7" fillId="0" borderId="4" xfId="7" applyFont="1" applyFill="1" applyBorder="1" applyAlignment="1">
      <alignment horizontal="center"/>
    </xf>
    <xf numFmtId="43" fontId="7" fillId="0" borderId="0" xfId="7" applyFont="1" applyFill="1" applyBorder="1"/>
    <xf numFmtId="43" fontId="7" fillId="0" borderId="10" xfId="7" applyFont="1" applyFill="1" applyBorder="1"/>
    <xf numFmtId="43" fontId="7" fillId="0" borderId="10" xfId="7" applyFont="1" applyFill="1" applyBorder="1" applyAlignment="1">
      <alignment horizontal="center"/>
    </xf>
    <xf numFmtId="43" fontId="7" fillId="3" borderId="10" xfId="7" applyFont="1" applyFill="1" applyBorder="1" applyAlignment="1">
      <alignment horizontal="center"/>
    </xf>
    <xf numFmtId="43" fontId="7" fillId="3" borderId="0" xfId="7" applyFont="1" applyFill="1" applyBorder="1" applyAlignment="1">
      <alignment horizontal="center"/>
    </xf>
    <xf numFmtId="43" fontId="7" fillId="0" borderId="0" xfId="7" applyFont="1" applyFill="1" applyBorder="1" applyAlignment="1">
      <alignment horizontal="center"/>
    </xf>
    <xf numFmtId="166" fontId="7" fillId="0" borderId="4" xfId="7" applyNumberFormat="1" applyFont="1" applyFill="1" applyBorder="1"/>
    <xf numFmtId="166" fontId="7" fillId="0" borderId="0" xfId="7" applyNumberFormat="1" applyFont="1" applyFill="1" applyBorder="1"/>
    <xf numFmtId="166" fontId="7" fillId="0" borderId="10" xfId="7" applyNumberFormat="1" applyFont="1" applyFill="1" applyBorder="1"/>
    <xf numFmtId="165" fontId="7" fillId="3" borderId="0" xfId="35" applyNumberFormat="1" applyFont="1" applyFill="1" applyBorder="1"/>
    <xf numFmtId="43" fontId="7" fillId="3" borderId="0" xfId="7" applyFont="1" applyFill="1" applyBorder="1"/>
    <xf numFmtId="43" fontId="7" fillId="3" borderId="10" xfId="7" applyFont="1" applyFill="1" applyBorder="1"/>
    <xf numFmtId="165" fontId="7" fillId="0" borderId="0" xfId="35" applyNumberFormat="1" applyFont="1" applyFill="1" applyBorder="1"/>
    <xf numFmtId="0" fontId="7" fillId="0" borderId="0" xfId="15" applyFont="1" applyAlignment="1">
      <alignment horizontal="left"/>
    </xf>
    <xf numFmtId="2" fontId="7" fillId="0" borderId="0" xfId="15" applyNumberFormat="1" applyFont="1"/>
    <xf numFmtId="165" fontId="7" fillId="0" borderId="0" xfId="7" applyNumberFormat="1" applyFont="1" applyFill="1" applyAlignment="1"/>
    <xf numFmtId="174" fontId="7" fillId="0" borderId="0" xfId="15" applyNumberFormat="1" applyFont="1"/>
    <xf numFmtId="43" fontId="7" fillId="0" borderId="0" xfId="7" applyFont="1" applyFill="1"/>
    <xf numFmtId="0" fontId="23" fillId="0" borderId="0" xfId="15" applyFont="1" applyAlignment="1">
      <alignment horizontal="left" vertical="center"/>
    </xf>
    <xf numFmtId="165" fontId="7" fillId="0" borderId="0" xfId="7" applyNumberFormat="1" applyFont="1" applyFill="1"/>
    <xf numFmtId="175" fontId="7" fillId="0" borderId="0" xfId="15" applyNumberFormat="1" applyFont="1"/>
    <xf numFmtId="165" fontId="7" fillId="0" borderId="0" xfId="7" applyNumberFormat="1" applyFont="1" applyFill="1" applyBorder="1"/>
    <xf numFmtId="165" fontId="29" fillId="0" borderId="0" xfId="7" applyNumberFormat="1" applyFont="1" applyFill="1" applyBorder="1"/>
    <xf numFmtId="43" fontId="7" fillId="0" borderId="0" xfId="15" applyNumberFormat="1" applyFont="1"/>
    <xf numFmtId="0" fontId="29" fillId="0" borderId="0" xfId="15" applyFont="1"/>
    <xf numFmtId="0" fontId="17" fillId="0" borderId="0" xfId="15" applyFont="1" applyAlignment="1">
      <alignment horizontal="center"/>
    </xf>
    <xf numFmtId="0" fontId="17" fillId="0" borderId="0" xfId="15" applyFont="1"/>
    <xf numFmtId="165" fontId="7" fillId="3" borderId="5" xfId="7" applyNumberFormat="1" applyFont="1" applyFill="1" applyBorder="1"/>
    <xf numFmtId="165" fontId="7" fillId="0" borderId="5" xfId="7" applyNumberFormat="1" applyFont="1" applyFill="1" applyBorder="1"/>
    <xf numFmtId="165" fontId="7" fillId="0" borderId="0" xfId="15" applyNumberFormat="1" applyFont="1"/>
    <xf numFmtId="0" fontId="17" fillId="0" borderId="3" xfId="15" applyFont="1" applyBorder="1" applyAlignment="1">
      <alignment horizontal="center"/>
    </xf>
    <xf numFmtId="165" fontId="7" fillId="3" borderId="11" xfId="7" applyNumberFormat="1" applyFont="1" applyFill="1" applyBorder="1"/>
    <xf numFmtId="165" fontId="7" fillId="3" borderId="4" xfId="7" applyNumberFormat="1" applyFont="1" applyFill="1" applyBorder="1"/>
    <xf numFmtId="0" fontId="7" fillId="0" borderId="10" xfId="15" applyFont="1" applyBorder="1"/>
    <xf numFmtId="165" fontId="7" fillId="0" borderId="4" xfId="7" applyNumberFormat="1" applyFont="1" applyFill="1" applyBorder="1"/>
    <xf numFmtId="1" fontId="7" fillId="0" borderId="0" xfId="15" applyNumberFormat="1" applyFont="1"/>
    <xf numFmtId="0" fontId="8" fillId="0" borderId="0" xfId="15" applyFont="1"/>
    <xf numFmtId="167" fontId="7" fillId="0" borderId="0" xfId="15" applyNumberFormat="1" applyFont="1"/>
    <xf numFmtId="165" fontId="7" fillId="3" borderId="0" xfId="7" applyNumberFormat="1" applyFont="1" applyFill="1" applyBorder="1"/>
    <xf numFmtId="0" fontId="9" fillId="0" borderId="0" xfId="15" applyFont="1"/>
    <xf numFmtId="0" fontId="7" fillId="0" borderId="0" xfId="15" applyFont="1" applyAlignment="1">
      <alignment horizontal="right"/>
    </xf>
    <xf numFmtId="174" fontId="7" fillId="3" borderId="0" xfId="15" applyNumberFormat="1" applyFont="1" applyFill="1"/>
    <xf numFmtId="0" fontId="7" fillId="0" borderId="4" xfId="0" applyFont="1" applyBorder="1"/>
    <xf numFmtId="0" fontId="8" fillId="0" borderId="4" xfId="0" applyFont="1" applyBorder="1"/>
    <xf numFmtId="166" fontId="8" fillId="0" borderId="4" xfId="8" applyNumberFormat="1" applyFont="1" applyFill="1" applyBorder="1" applyAlignment="1">
      <alignment horizontal="right" vertical="center"/>
    </xf>
    <xf numFmtId="166" fontId="7" fillId="0" borderId="4" xfId="8" applyNumberFormat="1" applyFont="1" applyFill="1" applyBorder="1" applyAlignment="1">
      <alignment horizontal="right" vertical="center"/>
    </xf>
    <xf numFmtId="0" fontId="7" fillId="0" borderId="1" xfId="0" applyFont="1" applyBorder="1"/>
    <xf numFmtId="3" fontId="8" fillId="0" borderId="1" xfId="0" applyNumberFormat="1" applyFont="1" applyBorder="1" applyAlignment="1">
      <alignment horizontal="right" vertical="center"/>
    </xf>
    <xf numFmtId="3" fontId="7" fillId="0" borderId="4" xfId="0" applyNumberFormat="1" applyFont="1" applyBorder="1" applyAlignment="1">
      <alignment horizontal="right" vertical="center"/>
    </xf>
    <xf numFmtId="0" fontId="12" fillId="0" borderId="0" xfId="0" applyFont="1"/>
    <xf numFmtId="0" fontId="12" fillId="0" borderId="0" xfId="15" applyFont="1" applyAlignment="1">
      <alignment horizontal="left"/>
    </xf>
    <xf numFmtId="167" fontId="7" fillId="0" borderId="4" xfId="7" applyNumberFormat="1" applyFont="1" applyFill="1" applyBorder="1" applyAlignment="1">
      <alignment horizontal="center"/>
    </xf>
    <xf numFmtId="167" fontId="7" fillId="3" borderId="4" xfId="7" applyNumberFormat="1" applyFont="1" applyFill="1" applyBorder="1" applyAlignment="1">
      <alignment horizontal="center"/>
    </xf>
    <xf numFmtId="0" fontId="6" fillId="0" borderId="0" xfId="15" applyFont="1" applyAlignment="1">
      <alignment horizontal="center"/>
    </xf>
    <xf numFmtId="0" fontId="8" fillId="0" borderId="14" xfId="15" applyFont="1" applyBorder="1" applyAlignment="1">
      <alignment horizontal="centerContinuous" wrapText="1"/>
    </xf>
    <xf numFmtId="0" fontId="8" fillId="0" borderId="14" xfId="15" applyFont="1" applyBorder="1" applyAlignment="1">
      <alignment horizontal="center" vertical="center" wrapText="1"/>
    </xf>
    <xf numFmtId="0" fontId="28" fillId="0" borderId="0" xfId="15" applyFont="1" applyAlignment="1">
      <alignment horizontal="left"/>
    </xf>
    <xf numFmtId="167" fontId="7" fillId="0" borderId="4" xfId="15" applyNumberFormat="1" applyFont="1" applyBorder="1" applyAlignment="1">
      <alignment horizontal="center"/>
    </xf>
    <xf numFmtId="174" fontId="7" fillId="0" borderId="10" xfId="15" applyNumberFormat="1" applyFont="1" applyBorder="1"/>
    <xf numFmtId="167" fontId="7" fillId="0" borderId="5" xfId="15" applyNumberFormat="1" applyFont="1" applyBorder="1" applyAlignment="1">
      <alignment horizontal="center"/>
    </xf>
    <xf numFmtId="167" fontId="7" fillId="0" borderId="0" xfId="15" applyNumberFormat="1" applyFont="1" applyAlignment="1">
      <alignment horizontal="center"/>
    </xf>
    <xf numFmtId="0" fontId="12" fillId="0" borderId="0" xfId="15" applyFont="1" applyAlignment="1">
      <alignment horizontal="right"/>
    </xf>
    <xf numFmtId="0" fontId="21" fillId="0" borderId="13" xfId="15" applyFont="1" applyBorder="1" applyAlignment="1">
      <alignment horizontal="center" vertical="center" wrapText="1"/>
    </xf>
    <xf numFmtId="0" fontId="21" fillId="0" borderId="14" xfId="15" applyFont="1" applyBorder="1" applyAlignment="1">
      <alignment horizontal="center" vertical="center" wrapText="1"/>
    </xf>
    <xf numFmtId="0" fontId="8" fillId="0" borderId="13" xfId="15" applyFont="1" applyBorder="1" applyAlignment="1">
      <alignment horizontal="center" vertical="center"/>
    </xf>
    <xf numFmtId="0" fontId="8" fillId="0" borderId="14" xfId="15" applyFont="1" applyBorder="1" applyAlignment="1">
      <alignment horizontal="center" vertical="center"/>
    </xf>
    <xf numFmtId="0" fontId="8" fillId="0" borderId="14" xfId="15" applyFont="1" applyBorder="1" applyAlignment="1">
      <alignment horizontal="centerContinuous" vertical="center"/>
    </xf>
    <xf numFmtId="43" fontId="8" fillId="0" borderId="14" xfId="7" applyFont="1" applyFill="1" applyBorder="1" applyAlignment="1">
      <alignment vertical="center" wrapText="1"/>
    </xf>
    <xf numFmtId="43" fontId="8" fillId="0" borderId="14" xfId="7" applyFont="1" applyFill="1" applyBorder="1" applyAlignment="1">
      <alignment horizontal="center" vertical="center" wrapText="1"/>
    </xf>
    <xf numFmtId="0" fontId="7" fillId="0" borderId="4" xfId="15" applyFont="1" applyBorder="1"/>
    <xf numFmtId="165" fontId="7" fillId="3" borderId="10" xfId="7" applyNumberFormat="1" applyFont="1" applyFill="1" applyBorder="1"/>
    <xf numFmtId="0" fontId="8" fillId="0" borderId="14" xfId="15" applyFont="1" applyBorder="1" applyAlignment="1">
      <alignment horizontal="center" vertical="center" textRotation="90"/>
    </xf>
    <xf numFmtId="0" fontId="8" fillId="0" borderId="14" xfId="15" applyFont="1" applyBorder="1" applyAlignment="1">
      <alignment horizontal="center" vertical="center" textRotation="90" wrapText="1"/>
    </xf>
    <xf numFmtId="0" fontId="13" fillId="0" borderId="0" xfId="0" applyFont="1" applyAlignment="1">
      <alignment horizontal="right"/>
    </xf>
    <xf numFmtId="0" fontId="31" fillId="0" borderId="0" xfId="15" applyFont="1" applyAlignment="1">
      <alignment horizontal="right"/>
    </xf>
    <xf numFmtId="167" fontId="27" fillId="0" borderId="14" xfId="15" applyNumberFormat="1" applyFont="1" applyBorder="1" applyAlignment="1">
      <alignment horizontal="centerContinuous" vertical="center" wrapText="1"/>
    </xf>
    <xf numFmtId="0" fontId="8" fillId="0" borderId="14" xfId="15" applyFont="1" applyBorder="1" applyAlignment="1">
      <alignment horizontal="centerContinuous" vertical="center" wrapText="1"/>
    </xf>
    <xf numFmtId="0" fontId="27" fillId="0" borderId="14" xfId="15" applyFont="1" applyBorder="1" applyAlignment="1">
      <alignment horizontal="centerContinuous" vertical="center" wrapText="1"/>
    </xf>
    <xf numFmtId="3" fontId="27" fillId="0" borderId="14" xfId="15" applyNumberFormat="1" applyFont="1" applyBorder="1" applyAlignment="1">
      <alignment horizontal="center" vertical="center" wrapText="1"/>
    </xf>
    <xf numFmtId="3" fontId="8" fillId="0" borderId="14" xfId="15" applyNumberFormat="1" applyFont="1" applyBorder="1" applyAlignment="1">
      <alignment horizontal="center" vertical="center" wrapText="1"/>
    </xf>
    <xf numFmtId="0" fontId="32" fillId="0" borderId="0" xfId="15" applyFont="1"/>
    <xf numFmtId="3" fontId="32" fillId="0" borderId="5" xfId="15" applyNumberFormat="1" applyFont="1" applyBorder="1"/>
    <xf numFmtId="167" fontId="12" fillId="0" borderId="4" xfId="15" applyNumberFormat="1" applyFont="1" applyBorder="1" applyAlignment="1">
      <alignment horizontal="left"/>
    </xf>
    <xf numFmtId="3" fontId="12" fillId="0" borderId="4" xfId="15" applyNumberFormat="1" applyFont="1" applyBorder="1"/>
    <xf numFmtId="172" fontId="12" fillId="3" borderId="4" xfId="15" applyNumberFormat="1" applyFont="1" applyFill="1" applyBorder="1" applyAlignment="1">
      <alignment horizontal="left"/>
    </xf>
    <xf numFmtId="3" fontId="12" fillId="3" borderId="4" xfId="15" applyNumberFormat="1" applyFont="1" applyFill="1" applyBorder="1"/>
    <xf numFmtId="172" fontId="12" fillId="0" borderId="4" xfId="15" applyNumberFormat="1" applyFont="1" applyBorder="1" applyAlignment="1">
      <alignment horizontal="left"/>
    </xf>
    <xf numFmtId="165" fontId="7" fillId="0" borderId="4" xfId="35" applyNumberFormat="1" applyFont="1" applyBorder="1"/>
    <xf numFmtId="165" fontId="7" fillId="0" borderId="4" xfId="35" applyNumberFormat="1" applyFont="1" applyFill="1" applyBorder="1"/>
    <xf numFmtId="0" fontId="21" fillId="0" borderId="14" xfId="15" applyFont="1" applyBorder="1" applyAlignment="1">
      <alignment horizontal="center" vertical="center" textRotation="90"/>
    </xf>
    <xf numFmtId="0" fontId="21" fillId="0" borderId="14" xfId="15" applyFont="1" applyBorder="1" applyAlignment="1">
      <alignment horizontal="center" vertical="center"/>
    </xf>
    <xf numFmtId="0" fontId="8" fillId="0" borderId="14" xfId="15" applyFont="1" applyBorder="1" applyAlignment="1">
      <alignment horizontal="center" vertical="justify" textRotation="90"/>
    </xf>
    <xf numFmtId="0" fontId="8" fillId="0" borderId="14" xfId="15" applyFont="1" applyBorder="1" applyAlignment="1">
      <alignment horizontal="center" textRotation="90" wrapText="1"/>
    </xf>
    <xf numFmtId="37" fontId="7" fillId="0" borderId="4" xfId="8" applyNumberFormat="1" applyFont="1" applyFill="1" applyBorder="1" applyAlignment="1">
      <alignment horizontal="center" vertical="center"/>
    </xf>
    <xf numFmtId="37" fontId="7" fillId="3" borderId="4" xfId="8" applyNumberFormat="1" applyFont="1" applyFill="1" applyBorder="1" applyAlignment="1">
      <alignment horizontal="center" vertical="center"/>
    </xf>
    <xf numFmtId="176" fontId="7" fillId="0" borderId="0" xfId="15" applyNumberFormat="1" applyFont="1"/>
    <xf numFmtId="0" fontId="6" fillId="0" borderId="0" xfId="26" applyFont="1" applyAlignment="1">
      <alignment vertical="center" wrapText="1"/>
    </xf>
    <xf numFmtId="0" fontId="6" fillId="3" borderId="0" xfId="26" applyFont="1" applyFill="1" applyAlignment="1">
      <alignment vertical="center" wrapText="1"/>
    </xf>
    <xf numFmtId="0" fontId="13" fillId="0" borderId="0" xfId="15" applyFont="1" applyAlignment="1">
      <alignment horizontal="right"/>
    </xf>
    <xf numFmtId="43" fontId="7" fillId="0" borderId="5" xfId="7" applyFont="1" applyFill="1" applyBorder="1" applyAlignment="1">
      <alignment horizontal="center"/>
    </xf>
    <xf numFmtId="165" fontId="23" fillId="0" borderId="0" xfId="7" applyNumberFormat="1" applyFont="1" applyFill="1" applyBorder="1" applyAlignment="1"/>
    <xf numFmtId="1" fontId="12" fillId="0" borderId="0" xfId="15" applyNumberFormat="1" applyFont="1"/>
    <xf numFmtId="3" fontId="23" fillId="0" borderId="0" xfId="8" applyNumberFormat="1" applyFont="1" applyFill="1" applyBorder="1"/>
    <xf numFmtId="172" fontId="7" fillId="3" borderId="1" xfId="15" applyNumberFormat="1" applyFont="1" applyFill="1" applyBorder="1" applyAlignment="1">
      <alignment horizontal="left"/>
    </xf>
    <xf numFmtId="37" fontId="7" fillId="3" borderId="1" xfId="8" applyNumberFormat="1" applyFont="1" applyFill="1" applyBorder="1" applyAlignment="1">
      <alignment horizontal="center" vertical="center"/>
    </xf>
    <xf numFmtId="3" fontId="7" fillId="3" borderId="1" xfId="15" applyNumberFormat="1" applyFont="1" applyFill="1" applyBorder="1"/>
    <xf numFmtId="172" fontId="7" fillId="4" borderId="4" xfId="15" applyNumberFormat="1" applyFont="1" applyFill="1" applyBorder="1" applyAlignment="1">
      <alignment horizontal="left"/>
    </xf>
    <xf numFmtId="3" fontId="7" fillId="4" borderId="4" xfId="15" applyNumberFormat="1" applyFont="1" applyFill="1" applyBorder="1"/>
    <xf numFmtId="172" fontId="7" fillId="4" borderId="1" xfId="15" applyNumberFormat="1" applyFont="1" applyFill="1" applyBorder="1" applyAlignment="1">
      <alignment horizontal="left"/>
    </xf>
    <xf numFmtId="3" fontId="7" fillId="4" borderId="1" xfId="15" applyNumberFormat="1" applyFont="1" applyFill="1" applyBorder="1"/>
    <xf numFmtId="167" fontId="7" fillId="4" borderId="4" xfId="15" applyNumberFormat="1" applyFont="1" applyFill="1" applyBorder="1" applyAlignment="1">
      <alignment horizontal="left"/>
    </xf>
    <xf numFmtId="3" fontId="7" fillId="4" borderId="10" xfId="15" applyNumberFormat="1" applyFont="1" applyFill="1" applyBorder="1"/>
    <xf numFmtId="3" fontId="7" fillId="4" borderId="15" xfId="15" applyNumberFormat="1" applyFont="1" applyFill="1" applyBorder="1"/>
    <xf numFmtId="1" fontId="7" fillId="4" borderId="5" xfId="15" applyNumberFormat="1" applyFont="1" applyFill="1" applyBorder="1" applyAlignment="1">
      <alignment horizontal="right"/>
    </xf>
    <xf numFmtId="174" fontId="7" fillId="4" borderId="10" xfId="15" applyNumberFormat="1" applyFont="1" applyFill="1" applyBorder="1"/>
    <xf numFmtId="165" fontId="7" fillId="4" borderId="4" xfId="7" applyNumberFormat="1" applyFont="1" applyFill="1" applyBorder="1"/>
    <xf numFmtId="174" fontId="7" fillId="4" borderId="15" xfId="15" applyNumberFormat="1" applyFont="1" applyFill="1" applyBorder="1"/>
    <xf numFmtId="165" fontId="7" fillId="4" borderId="1" xfId="7" applyNumberFormat="1" applyFont="1" applyFill="1" applyBorder="1"/>
    <xf numFmtId="165" fontId="7" fillId="4" borderId="5" xfId="7" applyNumberFormat="1" applyFont="1" applyFill="1" applyBorder="1"/>
    <xf numFmtId="165" fontId="7" fillId="4" borderId="4" xfId="35" applyNumberFormat="1" applyFont="1" applyFill="1" applyBorder="1"/>
    <xf numFmtId="165" fontId="7" fillId="4" borderId="1" xfId="35" applyNumberFormat="1" applyFont="1" applyFill="1" applyBorder="1"/>
    <xf numFmtId="166" fontId="23" fillId="0" borderId="10" xfId="8" applyNumberFormat="1" applyFont="1" applyFill="1" applyBorder="1"/>
    <xf numFmtId="166" fontId="27" fillId="0" borderId="14" xfId="8" applyNumberFormat="1" applyFont="1" applyFill="1" applyBorder="1" applyAlignment="1">
      <alignment horizontal="right"/>
    </xf>
    <xf numFmtId="166" fontId="27" fillId="0" borderId="14" xfId="8" applyNumberFormat="1" applyFont="1" applyFill="1" applyBorder="1"/>
    <xf numFmtId="1" fontId="7" fillId="0" borderId="4" xfId="15" applyNumberFormat="1" applyFont="1" applyBorder="1" applyAlignment="1">
      <alignment horizontal="right"/>
    </xf>
    <xf numFmtId="1" fontId="7" fillId="4" borderId="4" xfId="15" applyNumberFormat="1" applyFont="1" applyFill="1" applyBorder="1" applyAlignment="1">
      <alignment horizontal="right"/>
    </xf>
    <xf numFmtId="3" fontId="8" fillId="0" borderId="0" xfId="15" applyNumberFormat="1" applyFont="1"/>
    <xf numFmtId="3" fontId="9" fillId="0" borderId="0" xfId="15" applyNumberFormat="1" applyFont="1" applyAlignment="1">
      <alignment horizontal="right"/>
    </xf>
    <xf numFmtId="167" fontId="7" fillId="3" borderId="1" xfId="15" applyNumberFormat="1" applyFont="1" applyFill="1" applyBorder="1" applyAlignment="1">
      <alignment horizontal="center"/>
    </xf>
    <xf numFmtId="0" fontId="23" fillId="0" borderId="0" xfId="15" applyFont="1"/>
    <xf numFmtId="0" fontId="9" fillId="0" borderId="0" xfId="15" applyFont="1" applyAlignment="1">
      <alignment horizontal="center"/>
    </xf>
    <xf numFmtId="0" fontId="7" fillId="0" borderId="0" xfId="15" applyFont="1" applyAlignment="1">
      <alignment horizontal="center"/>
    </xf>
    <xf numFmtId="172" fontId="7" fillId="0" borderId="0" xfId="15" applyNumberFormat="1" applyFont="1" applyAlignment="1">
      <alignment horizontal="left"/>
    </xf>
    <xf numFmtId="3" fontId="7" fillId="3" borderId="6" xfId="15" applyNumberFormat="1" applyFont="1" applyFill="1" applyBorder="1"/>
    <xf numFmtId="43" fontId="7" fillId="3" borderId="1" xfId="7" applyFont="1" applyFill="1" applyBorder="1"/>
    <xf numFmtId="165" fontId="7" fillId="3" borderId="17" xfId="35" applyNumberFormat="1" applyFont="1" applyFill="1" applyBorder="1"/>
    <xf numFmtId="43" fontId="7" fillId="3" borderId="17" xfId="7" applyFont="1" applyFill="1" applyBorder="1"/>
    <xf numFmtId="43" fontId="7" fillId="3" borderId="15" xfId="7" applyFont="1" applyFill="1" applyBorder="1"/>
    <xf numFmtId="165" fontId="7" fillId="3" borderId="6" xfId="7" applyNumberFormat="1" applyFont="1" applyFill="1" applyBorder="1"/>
    <xf numFmtId="165" fontId="7" fillId="3" borderId="1" xfId="7" applyNumberFormat="1" applyFont="1" applyFill="1" applyBorder="1"/>
    <xf numFmtId="43" fontId="7" fillId="3" borderId="6" xfId="7" applyFont="1" applyFill="1" applyBorder="1"/>
    <xf numFmtId="0" fontId="17" fillId="3" borderId="0" xfId="0" applyFont="1" applyFill="1" applyAlignment="1">
      <alignment horizontal="center"/>
    </xf>
    <xf numFmtId="0" fontId="5" fillId="0" borderId="0" xfId="0" applyFont="1" applyAlignment="1">
      <alignment horizontal="center"/>
    </xf>
    <xf numFmtId="0" fontId="16" fillId="2" borderId="0" xfId="0" applyFont="1" applyFill="1" applyAlignment="1">
      <alignment horizontal="center"/>
    </xf>
    <xf numFmtId="0" fontId="17" fillId="0" borderId="0" xfId="0" applyFont="1" applyAlignment="1">
      <alignment horizontal="center"/>
    </xf>
    <xf numFmtId="0" fontId="22" fillId="0" borderId="0" xfId="15" applyFont="1" applyAlignment="1">
      <alignment horizontal="center"/>
    </xf>
    <xf numFmtId="0" fontId="21" fillId="0" borderId="11" xfId="15" applyFont="1" applyBorder="1" applyAlignment="1">
      <alignment horizontal="center" vertical="center"/>
    </xf>
    <xf numFmtId="0" fontId="21" fillId="0" borderId="1" xfId="15" applyFont="1" applyBorder="1" applyAlignment="1">
      <alignment horizontal="center" vertical="center"/>
    </xf>
    <xf numFmtId="0" fontId="21" fillId="0" borderId="12" xfId="15" applyFont="1" applyBorder="1" applyAlignment="1">
      <alignment horizontal="center" vertical="center"/>
    </xf>
    <xf numFmtId="0" fontId="21" fillId="0" borderId="16" xfId="15" applyFont="1" applyBorder="1" applyAlignment="1">
      <alignment horizontal="center" vertical="center"/>
    </xf>
    <xf numFmtId="0" fontId="21" fillId="0" borderId="13" xfId="15" applyFont="1" applyBorder="1" applyAlignment="1">
      <alignment horizontal="center" vertical="center"/>
    </xf>
    <xf numFmtId="0" fontId="8" fillId="0" borderId="14" xfId="15" applyFont="1" applyBorder="1" applyAlignment="1">
      <alignment horizontal="center" vertical="center" wrapText="1"/>
    </xf>
    <xf numFmtId="0" fontId="12" fillId="0" borderId="11" xfId="15" applyFont="1" applyBorder="1" applyAlignment="1">
      <alignment horizontal="center" vertical="center"/>
    </xf>
    <xf numFmtId="0" fontId="12" fillId="0" borderId="1" xfId="15" applyFont="1" applyBorder="1" applyAlignment="1">
      <alignment horizontal="center" vertical="center"/>
    </xf>
    <xf numFmtId="0" fontId="22" fillId="0" borderId="3" xfId="15" applyFont="1" applyBorder="1" applyAlignment="1">
      <alignment horizontal="center"/>
    </xf>
    <xf numFmtId="0" fontId="21" fillId="0" borderId="8" xfId="15" applyFont="1" applyBorder="1" applyAlignment="1">
      <alignment horizontal="center" vertical="center"/>
    </xf>
    <xf numFmtId="0" fontId="21" fillId="0" borderId="11" xfId="15" applyFont="1" applyBorder="1" applyAlignment="1">
      <alignment horizontal="center" vertical="center" wrapText="1"/>
    </xf>
    <xf numFmtId="0" fontId="21" fillId="0" borderId="1" xfId="15" applyFont="1" applyBorder="1" applyAlignment="1">
      <alignment horizontal="center" vertical="center" wrapText="1"/>
    </xf>
    <xf numFmtId="0" fontId="22" fillId="0" borderId="17" xfId="15" applyFont="1" applyBorder="1" applyAlignment="1">
      <alignment horizontal="center"/>
    </xf>
    <xf numFmtId="43" fontId="8" fillId="0" borderId="11" xfId="7" applyFont="1" applyFill="1" applyBorder="1" applyAlignment="1">
      <alignment horizontal="center" vertical="center" wrapText="1"/>
    </xf>
    <xf numFmtId="43" fontId="8" fillId="0" borderId="1" xfId="7" applyFont="1" applyFill="1" applyBorder="1" applyAlignment="1">
      <alignment horizontal="center" vertical="center" wrapText="1"/>
    </xf>
    <xf numFmtId="0" fontId="8" fillId="0" borderId="12" xfId="15" applyFont="1" applyBorder="1" applyAlignment="1">
      <alignment horizontal="center" wrapText="1"/>
    </xf>
    <xf numFmtId="0" fontId="8" fillId="0" borderId="16" xfId="15" applyFont="1" applyBorder="1" applyAlignment="1">
      <alignment horizontal="center" wrapText="1"/>
    </xf>
    <xf numFmtId="0" fontId="8" fillId="0" borderId="13" xfId="15" applyFont="1" applyBorder="1" applyAlignment="1">
      <alignment horizontal="center" wrapText="1"/>
    </xf>
    <xf numFmtId="0" fontId="8" fillId="0" borderId="11" xfId="15" applyFont="1" applyBorder="1" applyAlignment="1">
      <alignment horizontal="center" vertical="center" wrapText="1"/>
    </xf>
    <xf numFmtId="0" fontId="8" fillId="0" borderId="4" xfId="15" applyFont="1" applyBorder="1" applyAlignment="1">
      <alignment horizontal="center" vertical="center" wrapText="1"/>
    </xf>
    <xf numFmtId="0" fontId="8" fillId="0" borderId="1" xfId="15" applyFont="1" applyBorder="1" applyAlignment="1">
      <alignment horizontal="center" vertical="center" wrapText="1"/>
    </xf>
    <xf numFmtId="0" fontId="8" fillId="0" borderId="14" xfId="15" applyFont="1" applyBorder="1" applyAlignment="1">
      <alignment horizontal="center" vertical="center"/>
    </xf>
    <xf numFmtId="0" fontId="17" fillId="0" borderId="3" xfId="15" applyFont="1" applyBorder="1" applyAlignment="1">
      <alignment horizontal="center"/>
    </xf>
    <xf numFmtId="43" fontId="8" fillId="0" borderId="12" xfId="7" applyFont="1" applyFill="1" applyBorder="1" applyAlignment="1">
      <alignment horizontal="center" vertical="center" wrapText="1"/>
    </xf>
    <xf numFmtId="43" fontId="8" fillId="0" borderId="16" xfId="7" applyFont="1" applyFill="1" applyBorder="1" applyAlignment="1">
      <alignment horizontal="center" vertical="center" wrapText="1"/>
    </xf>
    <xf numFmtId="43" fontId="8" fillId="0" borderId="13" xfId="7" applyFont="1" applyFill="1" applyBorder="1" applyAlignment="1">
      <alignment horizontal="center" vertical="center" wrapText="1"/>
    </xf>
    <xf numFmtId="0" fontId="8" fillId="0" borderId="14" xfId="15" applyFont="1" applyBorder="1" applyAlignment="1">
      <alignment horizontal="center"/>
    </xf>
    <xf numFmtId="0" fontId="8" fillId="0" borderId="12" xfId="15" applyFont="1" applyBorder="1" applyAlignment="1">
      <alignment horizontal="center" vertical="center"/>
    </xf>
    <xf numFmtId="0" fontId="8" fillId="0" borderId="16" xfId="15" applyFont="1" applyBorder="1" applyAlignment="1">
      <alignment horizontal="center" vertical="center"/>
    </xf>
    <xf numFmtId="0" fontId="8" fillId="0" borderId="13" xfId="15" applyFont="1" applyBorder="1" applyAlignment="1">
      <alignment horizontal="center" vertical="center"/>
    </xf>
    <xf numFmtId="0" fontId="8" fillId="0" borderId="11" xfId="15" applyFont="1" applyBorder="1" applyAlignment="1">
      <alignment horizontal="center" vertical="center"/>
    </xf>
    <xf numFmtId="0" fontId="8" fillId="0" borderId="4" xfId="15" applyFont="1" applyBorder="1" applyAlignment="1">
      <alignment horizontal="center" vertical="center"/>
    </xf>
    <xf numFmtId="0" fontId="8" fillId="0" borderId="1" xfId="15" applyFont="1" applyBorder="1" applyAlignment="1">
      <alignment horizontal="center" vertical="center"/>
    </xf>
    <xf numFmtId="0" fontId="8" fillId="0" borderId="12" xfId="15" applyFont="1" applyBorder="1" applyAlignment="1">
      <alignment horizontal="center"/>
    </xf>
    <xf numFmtId="0" fontId="8" fillId="0" borderId="16" xfId="15" applyFont="1" applyBorder="1" applyAlignment="1">
      <alignment horizontal="center"/>
    </xf>
    <xf numFmtId="0" fontId="8" fillId="0" borderId="13" xfId="15" applyFont="1" applyBorder="1" applyAlignment="1">
      <alignment horizontal="center"/>
    </xf>
    <xf numFmtId="0" fontId="17" fillId="0" borderId="0" xfId="15" applyFont="1" applyAlignment="1">
      <alignment horizontal="center"/>
    </xf>
    <xf numFmtId="0" fontId="8" fillId="0" borderId="9" xfId="15" applyFont="1" applyBorder="1" applyAlignment="1">
      <alignment horizontal="center" vertical="center"/>
    </xf>
    <xf numFmtId="0" fontId="8" fillId="0" borderId="10" xfId="15" applyFont="1" applyBorder="1" applyAlignment="1">
      <alignment horizontal="center" vertical="center"/>
    </xf>
    <xf numFmtId="0" fontId="8" fillId="0" borderId="15" xfId="15" applyFont="1" applyBorder="1" applyAlignment="1">
      <alignment horizontal="center" vertical="center"/>
    </xf>
    <xf numFmtId="0" fontId="8" fillId="0" borderId="7" xfId="15" applyFont="1" applyBorder="1" applyAlignment="1">
      <alignment horizontal="center" vertical="center"/>
    </xf>
    <xf numFmtId="0" fontId="8" fillId="0" borderId="2" xfId="15" applyFont="1" applyBorder="1" applyAlignment="1">
      <alignment horizontal="center" vertical="center"/>
    </xf>
    <xf numFmtId="0" fontId="8" fillId="0" borderId="6" xfId="15" applyFont="1" applyBorder="1" applyAlignment="1">
      <alignment horizontal="center" vertical="center"/>
    </xf>
    <xf numFmtId="0" fontId="8" fillId="0" borderId="3" xfId="15" applyFont="1" applyBorder="1" applyAlignment="1">
      <alignment horizontal="center" vertical="center"/>
    </xf>
    <xf numFmtId="0" fontId="8" fillId="0" borderId="11" xfId="15" applyFont="1" applyBorder="1" applyAlignment="1">
      <alignment horizontal="center" textRotation="90" wrapText="1"/>
    </xf>
    <xf numFmtId="0" fontId="8" fillId="0" borderId="4" xfId="15" applyFont="1" applyBorder="1" applyAlignment="1">
      <alignment horizontal="center" textRotation="90" wrapText="1"/>
    </xf>
    <xf numFmtId="0" fontId="8" fillId="0" borderId="1" xfId="15" applyFont="1" applyBorder="1" applyAlignment="1">
      <alignment horizontal="center" textRotation="90" wrapText="1"/>
    </xf>
    <xf numFmtId="0" fontId="8" fillId="0" borderId="11" xfId="15" applyFont="1" applyBorder="1" applyAlignment="1">
      <alignment horizontal="center" wrapText="1"/>
    </xf>
    <xf numFmtId="0" fontId="8" fillId="0" borderId="1" xfId="15" applyFont="1" applyBorder="1" applyAlignment="1">
      <alignment horizontal="center" wrapText="1"/>
    </xf>
    <xf numFmtId="0" fontId="8" fillId="0" borderId="14" xfId="15" applyFont="1" applyBorder="1" applyAlignment="1">
      <alignment horizontal="center" vertical="center" textRotation="90"/>
    </xf>
    <xf numFmtId="0" fontId="8" fillId="0" borderId="14" xfId="15" applyFont="1" applyBorder="1" applyAlignment="1">
      <alignment horizontal="center" vertical="center" textRotation="90" wrapText="1"/>
    </xf>
    <xf numFmtId="0" fontId="21" fillId="0" borderId="14" xfId="15" applyFont="1" applyBorder="1" applyAlignment="1">
      <alignment horizontal="center" vertical="center" textRotation="90"/>
    </xf>
    <xf numFmtId="0" fontId="21" fillId="0" borderId="14" xfId="15" applyFont="1" applyBorder="1" applyAlignment="1">
      <alignment horizontal="center" vertical="center" textRotation="90" wrapText="1"/>
    </xf>
    <xf numFmtId="0" fontId="21" fillId="0" borderId="14" xfId="15" applyFont="1" applyBorder="1" applyAlignment="1">
      <alignment horizontal="center" vertical="center"/>
    </xf>
    <xf numFmtId="0" fontId="7" fillId="0" borderId="14" xfId="15" applyFont="1" applyBorder="1" applyAlignment="1">
      <alignment horizontal="center" vertical="center"/>
    </xf>
    <xf numFmtId="0" fontId="17" fillId="0" borderId="17" xfId="15" applyFont="1" applyBorder="1" applyAlignment="1">
      <alignment horizontal="center"/>
    </xf>
    <xf numFmtId="0" fontId="12" fillId="0" borderId="11" xfId="15" applyFont="1" applyBorder="1" applyAlignment="1">
      <alignment horizontal="center" vertical="center" wrapText="1"/>
    </xf>
    <xf numFmtId="0" fontId="12" fillId="0" borderId="1" xfId="15" applyFont="1" applyBorder="1" applyAlignment="1">
      <alignment horizontal="center" vertical="center" wrapText="1"/>
    </xf>
    <xf numFmtId="0" fontId="30" fillId="0" borderId="0" xfId="15" applyFont="1" applyAlignment="1">
      <alignment horizontal="center" vertical="center"/>
    </xf>
    <xf numFmtId="0" fontId="8" fillId="0" borderId="14" xfId="15" applyFont="1" applyBorder="1" applyAlignment="1">
      <alignment horizontal="left" vertical="center" wrapText="1"/>
    </xf>
    <xf numFmtId="0" fontId="8" fillId="0" borderId="12" xfId="15" applyFont="1" applyBorder="1" applyAlignment="1">
      <alignment horizontal="center" vertical="center" wrapText="1"/>
    </xf>
    <xf numFmtId="0" fontId="8" fillId="0" borderId="16" xfId="15" applyFont="1" applyBorder="1" applyAlignment="1">
      <alignment horizontal="center" vertical="center" wrapText="1"/>
    </xf>
    <xf numFmtId="0" fontId="8" fillId="0" borderId="13" xfId="15" applyFont="1" applyBorder="1" applyAlignment="1">
      <alignment horizontal="center" vertical="center" wrapText="1"/>
    </xf>
    <xf numFmtId="0" fontId="12" fillId="5" borderId="0" xfId="29" applyFont="1" applyFill="1"/>
    <xf numFmtId="0" fontId="5" fillId="0" borderId="0" xfId="31" applyFont="1"/>
    <xf numFmtId="0" fontId="34" fillId="5" borderId="0" xfId="29" applyFont="1" applyFill="1"/>
    <xf numFmtId="0" fontId="21" fillId="5" borderId="0" xfId="29" applyFont="1" applyFill="1" applyAlignment="1">
      <alignment horizontal="right"/>
    </xf>
    <xf numFmtId="0" fontId="21" fillId="5" borderId="0" xfId="29" applyFont="1" applyFill="1" applyAlignment="1">
      <alignment wrapText="1"/>
    </xf>
    <xf numFmtId="0" fontId="12" fillId="5" borderId="0" xfId="29" applyFont="1" applyFill="1" applyAlignment="1">
      <alignment wrapText="1"/>
    </xf>
    <xf numFmtId="166" fontId="12" fillId="5" borderId="0" xfId="29" applyNumberFormat="1" applyFont="1" applyFill="1" applyAlignment="1">
      <alignment wrapText="1"/>
    </xf>
    <xf numFmtId="17" fontId="21" fillId="5" borderId="0" xfId="41" applyNumberFormat="1" applyFont="1" applyFill="1"/>
    <xf numFmtId="0" fontId="35" fillId="5" borderId="0" xfId="29" applyFont="1" applyFill="1"/>
    <xf numFmtId="17" fontId="8" fillId="5" borderId="0" xfId="41" applyNumberFormat="1" applyFont="1" applyFill="1"/>
    <xf numFmtId="0" fontId="3" fillId="0" borderId="0" xfId="37" applyFont="1" applyAlignment="1">
      <alignment horizontal="right"/>
    </xf>
    <xf numFmtId="0" fontId="17" fillId="0" borderId="0" xfId="31" applyFont="1"/>
    <xf numFmtId="0" fontId="21" fillId="5" borderId="0" xfId="29" applyFont="1" applyFill="1"/>
    <xf numFmtId="17" fontId="21" fillId="5" borderId="17" xfId="41" applyNumberFormat="1" applyFont="1" applyFill="1" applyBorder="1"/>
    <xf numFmtId="0" fontId="36" fillId="0" borderId="0" xfId="31" applyFont="1" applyAlignment="1">
      <alignment horizontal="right"/>
    </xf>
    <xf numFmtId="0" fontId="21" fillId="5" borderId="0" xfId="29" applyFont="1" applyFill="1" applyAlignment="1">
      <alignment vertical="center"/>
    </xf>
    <xf numFmtId="0" fontId="21" fillId="5" borderId="16" xfId="29" applyFont="1" applyFill="1" applyBorder="1" applyAlignment="1">
      <alignment vertical="center"/>
    </xf>
    <xf numFmtId="0" fontId="37" fillId="5" borderId="16" xfId="29" applyFont="1" applyFill="1" applyBorder="1" applyAlignment="1">
      <alignment vertical="center"/>
    </xf>
    <xf numFmtId="0" fontId="21" fillId="5" borderId="16" xfId="29" applyFont="1" applyFill="1" applyBorder="1" applyAlignment="1">
      <alignment vertical="center" wrapText="1"/>
    </xf>
    <xf numFmtId="0" fontId="21" fillId="5" borderId="16" xfId="29" applyFont="1" applyFill="1" applyBorder="1" applyAlignment="1">
      <alignment horizontal="center" vertical="center"/>
    </xf>
    <xf numFmtId="0" fontId="21" fillId="3" borderId="16" xfId="29" applyFont="1" applyFill="1" applyBorder="1" applyAlignment="1">
      <alignment horizontal="center" vertical="center"/>
    </xf>
    <xf numFmtId="0" fontId="8" fillId="5" borderId="16" xfId="29" applyFont="1" applyFill="1" applyBorder="1" applyAlignment="1">
      <alignment horizontal="center" vertical="center"/>
    </xf>
    <xf numFmtId="0" fontId="21" fillId="5" borderId="0" xfId="29" applyFont="1" applyFill="1" applyAlignment="1">
      <alignment vertical="center" wrapText="1"/>
    </xf>
    <xf numFmtId="0" fontId="21" fillId="5" borderId="17" xfId="29" applyFont="1" applyFill="1" applyBorder="1" applyAlignment="1">
      <alignment horizontal="center" vertical="center"/>
    </xf>
    <xf numFmtId="0" fontId="21" fillId="3" borderId="17" xfId="29" applyFont="1" applyFill="1" applyBorder="1" applyAlignment="1">
      <alignment horizontal="center" vertical="center"/>
    </xf>
    <xf numFmtId="0" fontId="8" fillId="5" borderId="17" xfId="29" applyFont="1" applyFill="1" applyBorder="1" applyAlignment="1">
      <alignment horizontal="center" vertical="center"/>
    </xf>
    <xf numFmtId="41" fontId="21" fillId="5" borderId="0" xfId="29" applyNumberFormat="1" applyFont="1" applyFill="1"/>
    <xf numFmtId="41" fontId="21" fillId="3" borderId="0" xfId="29" applyNumberFormat="1" applyFont="1" applyFill="1"/>
    <xf numFmtId="41" fontId="8" fillId="5" borderId="0" xfId="29" applyNumberFormat="1" applyFont="1" applyFill="1"/>
    <xf numFmtId="165" fontId="21" fillId="5" borderId="0" xfId="39" applyNumberFormat="1" applyFont="1" applyFill="1"/>
    <xf numFmtId="165" fontId="21" fillId="3" borderId="0" xfId="39" applyNumberFormat="1" applyFont="1" applyFill="1"/>
    <xf numFmtId="41" fontId="12" fillId="5" borderId="0" xfId="29" applyNumberFormat="1" applyFont="1" applyFill="1"/>
    <xf numFmtId="41" fontId="12" fillId="3" borderId="0" xfId="29" applyNumberFormat="1" applyFont="1" applyFill="1"/>
    <xf numFmtId="41" fontId="7" fillId="5" borderId="0" xfId="29" applyNumberFormat="1" applyFont="1" applyFill="1"/>
    <xf numFmtId="165" fontId="12" fillId="5" borderId="0" xfId="39" applyNumberFormat="1" applyFont="1" applyFill="1"/>
    <xf numFmtId="165" fontId="12" fillId="3" borderId="0" xfId="39" applyNumberFormat="1" applyFont="1" applyFill="1"/>
    <xf numFmtId="41" fontId="12" fillId="3" borderId="0" xfId="29" applyNumberFormat="1" applyFont="1" applyFill="1" applyAlignment="1">
      <alignment horizontal="left" indent="1"/>
    </xf>
    <xf numFmtId="41" fontId="12" fillId="5" borderId="0" xfId="29" applyNumberFormat="1" applyFont="1" applyFill="1" applyAlignment="1">
      <alignment horizontal="left" indent="1"/>
    </xf>
    <xf numFmtId="165" fontId="12" fillId="5" borderId="0" xfId="39" applyNumberFormat="1" applyFont="1" applyFill="1" applyAlignment="1">
      <alignment horizontal="left" indent="1"/>
    </xf>
    <xf numFmtId="165" fontId="12" fillId="3" borderId="0" xfId="39" applyNumberFormat="1" applyFont="1" applyFill="1" applyAlignment="1">
      <alignment horizontal="left" indent="1"/>
    </xf>
    <xf numFmtId="177" fontId="12" fillId="5" borderId="0" xfId="29" applyNumberFormat="1" applyFont="1" applyFill="1"/>
    <xf numFmtId="177" fontId="12" fillId="3" borderId="0" xfId="29" applyNumberFormat="1" applyFont="1" applyFill="1"/>
    <xf numFmtId="178" fontId="12" fillId="3" borderId="0" xfId="39" applyNumberFormat="1" applyFont="1" applyFill="1"/>
    <xf numFmtId="178" fontId="12" fillId="5" borderId="0" xfId="39" applyNumberFormat="1" applyFont="1" applyFill="1"/>
    <xf numFmtId="3" fontId="7" fillId="5" borderId="0" xfId="29" applyNumberFormat="1" applyFont="1" applyFill="1"/>
    <xf numFmtId="165" fontId="7" fillId="5" borderId="0" xfId="39" applyNumberFormat="1" applyFont="1" applyFill="1"/>
    <xf numFmtId="178" fontId="7" fillId="5" borderId="0" xfId="39" applyNumberFormat="1" applyFont="1" applyFill="1"/>
    <xf numFmtId="0" fontId="13" fillId="5" borderId="0" xfId="29" applyFont="1" applyFill="1"/>
    <xf numFmtId="0" fontId="13" fillId="5" borderId="0" xfId="29" applyFont="1" applyFill="1" applyAlignment="1">
      <alignment wrapText="1"/>
    </xf>
    <xf numFmtId="0" fontId="12" fillId="5" borderId="0" xfId="29" applyFont="1" applyFill="1" applyAlignment="1">
      <alignment horizontal="left" wrapText="1"/>
    </xf>
    <xf numFmtId="0" fontId="12" fillId="5" borderId="0" xfId="29" applyFont="1" applyFill="1" applyAlignment="1">
      <alignment horizontal="left"/>
    </xf>
    <xf numFmtId="41" fontId="21" fillId="5" borderId="0" xfId="29" applyNumberFormat="1" applyFont="1" applyFill="1" applyAlignment="1">
      <alignment horizontal="left" indent="1"/>
    </xf>
    <xf numFmtId="165" fontId="21" fillId="5" borderId="0" xfId="39" applyNumberFormat="1" applyFont="1" applyFill="1" applyAlignment="1">
      <alignment horizontal="left" indent="1"/>
    </xf>
    <xf numFmtId="166" fontId="12" fillId="5" borderId="0" xfId="29" applyNumberFormat="1" applyFont="1" applyFill="1"/>
    <xf numFmtId="3" fontId="12" fillId="5" borderId="0" xfId="29" applyNumberFormat="1" applyFont="1" applyFill="1"/>
    <xf numFmtId="3" fontId="36" fillId="0" borderId="0" xfId="31" applyNumberFormat="1" applyFont="1"/>
    <xf numFmtId="0" fontId="7" fillId="5" borderId="0" xfId="29" applyFont="1" applyFill="1" applyAlignment="1">
      <alignment horizontal="left" wrapText="1"/>
    </xf>
    <xf numFmtId="0" fontId="7" fillId="5" borderId="0" xfId="29" applyFont="1" applyFill="1"/>
    <xf numFmtId="0" fontId="12" fillId="5" borderId="0" xfId="29" applyFont="1" applyFill="1" applyAlignment="1">
      <alignment horizontal="left" wrapText="1"/>
    </xf>
    <xf numFmtId="0" fontId="21" fillId="5" borderId="16" xfId="30" applyFont="1" applyFill="1" applyBorder="1" applyAlignment="1">
      <alignment horizontal="center" vertical="center"/>
    </xf>
    <xf numFmtId="0" fontId="37" fillId="5" borderId="16" xfId="30" applyFont="1" applyFill="1" applyBorder="1" applyAlignment="1">
      <alignment horizontal="left" vertical="center"/>
    </xf>
    <xf numFmtId="0" fontId="21" fillId="5" borderId="16" xfId="30" applyFont="1" applyFill="1" applyBorder="1" applyAlignment="1">
      <alignment horizontal="center" vertical="center" wrapText="1"/>
    </xf>
    <xf numFmtId="0" fontId="21" fillId="5" borderId="16" xfId="30" applyFont="1" applyFill="1" applyBorder="1" applyAlignment="1">
      <alignment horizontal="center" vertical="center"/>
    </xf>
    <xf numFmtId="0" fontId="21" fillId="3" borderId="16" xfId="30" applyFont="1" applyFill="1" applyBorder="1" applyAlignment="1">
      <alignment horizontal="center" vertical="center"/>
    </xf>
    <xf numFmtId="0" fontId="8" fillId="5" borderId="16" xfId="30" applyFont="1" applyFill="1" applyBorder="1" applyAlignment="1">
      <alignment horizontal="center" vertical="center"/>
    </xf>
    <xf numFmtId="0" fontId="21" fillId="5" borderId="0" xfId="30" applyFont="1" applyFill="1" applyAlignment="1">
      <alignment horizontal="center" vertical="center"/>
    </xf>
    <xf numFmtId="0" fontId="21" fillId="5" borderId="0" xfId="30" applyFont="1" applyFill="1"/>
    <xf numFmtId="0" fontId="21" fillId="5" borderId="0" xfId="30" applyFont="1" applyFill="1" applyAlignment="1">
      <alignment wrapText="1"/>
    </xf>
    <xf numFmtId="4" fontId="8" fillId="5" borderId="17" xfId="41" applyNumberFormat="1" applyFont="1" applyFill="1" applyBorder="1" applyAlignment="1">
      <alignment horizontal="center" wrapText="1"/>
    </xf>
    <xf numFmtId="4" fontId="8" fillId="3" borderId="17" xfId="41" applyNumberFormat="1" applyFont="1" applyFill="1" applyBorder="1" applyAlignment="1">
      <alignment horizontal="center" wrapText="1"/>
    </xf>
    <xf numFmtId="0" fontId="21" fillId="3" borderId="0" xfId="30" applyFont="1" applyFill="1" applyAlignment="1">
      <alignment wrapText="1"/>
    </xf>
    <xf numFmtId="0" fontId="8" fillId="5" borderId="0" xfId="30" applyFont="1" applyFill="1" applyAlignment="1">
      <alignment wrapText="1"/>
    </xf>
    <xf numFmtId="41" fontId="21" fillId="5" borderId="0" xfId="30" applyNumberFormat="1" applyFont="1" applyFill="1"/>
    <xf numFmtId="41" fontId="21" fillId="3" borderId="0" xfId="30" applyNumberFormat="1" applyFont="1" applyFill="1"/>
    <xf numFmtId="41" fontId="8" fillId="5" borderId="0" xfId="30" applyNumberFormat="1" applyFont="1" applyFill="1"/>
    <xf numFmtId="0" fontId="12" fillId="5" borderId="0" xfId="30" applyFont="1" applyFill="1"/>
    <xf numFmtId="0" fontId="12" fillId="5" borderId="0" xfId="30" applyFont="1" applyFill="1" applyAlignment="1">
      <alignment wrapText="1"/>
    </xf>
    <xf numFmtId="41" fontId="12" fillId="5" borderId="0" xfId="30" applyNumberFormat="1" applyFont="1" applyFill="1"/>
    <xf numFmtId="41" fontId="12" fillId="3" borderId="0" xfId="30" applyNumberFormat="1" applyFont="1" applyFill="1"/>
    <xf numFmtId="41" fontId="7" fillId="5" borderId="0" xfId="30" applyNumberFormat="1" applyFont="1" applyFill="1"/>
    <xf numFmtId="0" fontId="13" fillId="5" borderId="0" xfId="30" applyFont="1" applyFill="1"/>
    <xf numFmtId="0" fontId="13" fillId="5" borderId="0" xfId="30" applyFont="1" applyFill="1" applyAlignment="1">
      <alignment wrapText="1"/>
    </xf>
    <xf numFmtId="0" fontId="7" fillId="5" borderId="0" xfId="30" applyFont="1" applyFill="1"/>
    <xf numFmtId="0" fontId="7" fillId="5" borderId="0" xfId="30" applyFont="1" applyFill="1" applyAlignment="1">
      <alignment wrapText="1"/>
    </xf>
    <xf numFmtId="41" fontId="7" fillId="3" borderId="0" xfId="30" applyNumberFormat="1" applyFont="1" applyFill="1"/>
    <xf numFmtId="177" fontId="12" fillId="5" borderId="0" xfId="30" applyNumberFormat="1" applyFont="1" applyFill="1"/>
    <xf numFmtId="0" fontId="13" fillId="5" borderId="0" xfId="30" applyFont="1" applyFill="1" applyAlignment="1">
      <alignment horizontal="left" wrapText="1" indent="1"/>
    </xf>
    <xf numFmtId="177" fontId="12" fillId="3" borderId="0" xfId="30" applyNumberFormat="1" applyFont="1" applyFill="1"/>
    <xf numFmtId="179" fontId="12" fillId="5" borderId="0" xfId="30" applyNumberFormat="1" applyFont="1" applyFill="1"/>
    <xf numFmtId="0" fontId="7" fillId="5" borderId="0" xfId="29" applyFont="1" applyFill="1" applyAlignment="1">
      <alignment wrapText="1"/>
    </xf>
    <xf numFmtId="41" fontId="12" fillId="5" borderId="0" xfId="30" applyNumberFormat="1" applyFont="1" applyFill="1" applyAlignment="1">
      <alignment wrapText="1"/>
    </xf>
    <xf numFmtId="41" fontId="12" fillId="3" borderId="0" xfId="30" applyNumberFormat="1" applyFont="1" applyFill="1" applyAlignment="1">
      <alignment wrapText="1"/>
    </xf>
    <xf numFmtId="41" fontId="7" fillId="5" borderId="0" xfId="30" applyNumberFormat="1" applyFont="1" applyFill="1" applyAlignment="1">
      <alignment wrapText="1"/>
    </xf>
    <xf numFmtId="177" fontId="12" fillId="5" borderId="0" xfId="30" applyNumberFormat="1" applyFont="1" applyFill="1" applyAlignment="1">
      <alignment wrapText="1"/>
    </xf>
    <xf numFmtId="179" fontId="12" fillId="3" borderId="0" xfId="30" applyNumberFormat="1" applyFont="1" applyFill="1"/>
    <xf numFmtId="179" fontId="12" fillId="5" borderId="0" xfId="30" applyNumberFormat="1" applyFont="1" applyFill="1" applyAlignment="1">
      <alignment wrapText="1"/>
    </xf>
    <xf numFmtId="177" fontId="21" fillId="5" borderId="0" xfId="30" applyNumberFormat="1" applyFont="1" applyFill="1"/>
    <xf numFmtId="0" fontId="12" fillId="5" borderId="2" xfId="30" applyFont="1" applyFill="1" applyBorder="1"/>
    <xf numFmtId="0" fontId="21" fillId="5" borderId="2" xfId="30" applyFont="1" applyFill="1" applyBorder="1"/>
    <xf numFmtId="0" fontId="12" fillId="5" borderId="2" xfId="30" applyFont="1" applyFill="1" applyBorder="1" applyAlignment="1">
      <alignment wrapText="1"/>
    </xf>
    <xf numFmtId="0" fontId="7" fillId="5" borderId="2" xfId="30" applyFont="1" applyFill="1" applyBorder="1"/>
    <xf numFmtId="0" fontId="8" fillId="5" borderId="2" xfId="29" applyFont="1" applyFill="1" applyBorder="1"/>
    <xf numFmtId="0" fontId="8" fillId="5" borderId="0" xfId="29" applyFont="1" applyFill="1"/>
    <xf numFmtId="0" fontId="12" fillId="2" borderId="0" xfId="30" applyFont="1" applyFill="1" applyAlignment="1">
      <alignment vertical="center"/>
    </xf>
    <xf numFmtId="0" fontId="12" fillId="2" borderId="0" xfId="30" applyFont="1" applyFill="1" applyAlignment="1">
      <alignment vertical="center" wrapText="1"/>
    </xf>
    <xf numFmtId="3" fontId="12" fillId="2" borderId="0" xfId="30" applyNumberFormat="1" applyFont="1" applyFill="1" applyAlignment="1">
      <alignment vertical="center" wrapText="1"/>
    </xf>
    <xf numFmtId="3" fontId="12" fillId="2" borderId="0" xfId="30" applyNumberFormat="1" applyFont="1" applyFill="1" applyAlignment="1">
      <alignment vertical="center"/>
    </xf>
    <xf numFmtId="3" fontId="7" fillId="2" borderId="0" xfId="30" applyNumberFormat="1" applyFont="1" applyFill="1" applyAlignment="1">
      <alignment vertical="center"/>
    </xf>
    <xf numFmtId="3" fontId="12" fillId="5" borderId="0" xfId="30" applyNumberFormat="1" applyFont="1" applyFill="1" applyAlignment="1">
      <alignment wrapText="1"/>
    </xf>
    <xf numFmtId="3" fontId="12" fillId="5" borderId="0" xfId="30" applyNumberFormat="1" applyFont="1" applyFill="1"/>
    <xf numFmtId="3" fontId="7" fillId="5" borderId="0" xfId="30" applyNumberFormat="1" applyFont="1" applyFill="1"/>
    <xf numFmtId="180" fontId="12" fillId="5" borderId="0" xfId="30" applyNumberFormat="1" applyFont="1" applyFill="1"/>
    <xf numFmtId="1" fontId="12" fillId="5" borderId="0" xfId="30" applyNumberFormat="1" applyFont="1" applyFill="1"/>
    <xf numFmtId="167" fontId="12" fillId="5" borderId="0" xfId="30" applyNumberFormat="1" applyFont="1" applyFill="1"/>
    <xf numFmtId="0" fontId="26" fillId="5" borderId="0" xfId="29" applyFont="1" applyFill="1"/>
    <xf numFmtId="0" fontId="36" fillId="5" borderId="0" xfId="40" applyFont="1" applyFill="1" applyAlignment="1">
      <alignment horizontal="left"/>
    </xf>
    <xf numFmtId="0" fontId="7" fillId="5" borderId="0" xfId="40" applyFont="1" applyFill="1" applyAlignment="1">
      <alignment horizontal="left"/>
    </xf>
    <xf numFmtId="0" fontId="12" fillId="5" borderId="0" xfId="40" applyFont="1" applyFill="1"/>
    <xf numFmtId="0" fontId="7" fillId="5" borderId="0" xfId="40" applyFont="1" applyFill="1"/>
    <xf numFmtId="0" fontId="26" fillId="5" borderId="0" xfId="29" applyFont="1" applyFill="1" applyAlignment="1">
      <alignment vertical="center"/>
    </xf>
    <xf numFmtId="0" fontId="34" fillId="5" borderId="0" xfId="29" applyFont="1" applyFill="1" applyAlignment="1">
      <alignment vertical="center"/>
    </xf>
    <xf numFmtId="0" fontId="12" fillId="5" borderId="0" xfId="29" applyFont="1" applyFill="1" applyAlignment="1">
      <alignment vertical="center"/>
    </xf>
    <xf numFmtId="0" fontId="12" fillId="5" borderId="0" xfId="29" applyFont="1" applyFill="1" applyAlignment="1">
      <alignment horizontal="right"/>
    </xf>
    <xf numFmtId="0" fontId="40" fillId="5" borderId="16" xfId="29" applyFont="1" applyFill="1" applyBorder="1" applyAlignment="1">
      <alignment vertical="center"/>
    </xf>
    <xf numFmtId="0" fontId="40" fillId="5" borderId="16" xfId="29" applyFont="1" applyFill="1" applyBorder="1" applyAlignment="1">
      <alignment horizontal="center" vertical="center"/>
    </xf>
    <xf numFmtId="0" fontId="40" fillId="3" borderId="16" xfId="29" applyFont="1" applyFill="1" applyBorder="1" applyAlignment="1">
      <alignment horizontal="center" vertical="center"/>
    </xf>
    <xf numFmtId="0" fontId="41" fillId="5" borderId="16" xfId="29" applyFont="1" applyFill="1" applyBorder="1" applyAlignment="1">
      <alignment horizontal="center" vertical="center"/>
    </xf>
    <xf numFmtId="0" fontId="40" fillId="5" borderId="0" xfId="29" applyFont="1" applyFill="1"/>
    <xf numFmtId="0" fontId="40" fillId="5" borderId="17" xfId="29" applyFont="1" applyFill="1" applyBorder="1" applyAlignment="1">
      <alignment vertical="center"/>
    </xf>
    <xf numFmtId="4" fontId="8" fillId="5" borderId="18" xfId="41" applyNumberFormat="1" applyFont="1" applyFill="1" applyBorder="1" applyAlignment="1">
      <alignment horizontal="center" vertical="center" wrapText="1"/>
    </xf>
    <xf numFmtId="4" fontId="8" fillId="3" borderId="18" xfId="41" applyNumberFormat="1" applyFont="1" applyFill="1" applyBorder="1" applyAlignment="1">
      <alignment horizontal="center" vertical="center" wrapText="1"/>
    </xf>
    <xf numFmtId="0" fontId="21" fillId="3" borderId="0" xfId="29" applyFont="1" applyFill="1" applyAlignment="1">
      <alignment vertical="center"/>
    </xf>
    <xf numFmtId="0" fontId="8" fillId="5" borderId="0" xfId="29" applyFont="1" applyFill="1" applyAlignment="1">
      <alignment vertical="center"/>
    </xf>
    <xf numFmtId="0" fontId="21" fillId="5" borderId="0" xfId="29" applyFont="1" applyFill="1" applyAlignment="1">
      <alignment horizontal="left" vertical="center"/>
    </xf>
    <xf numFmtId="0" fontId="12" fillId="5" borderId="0" xfId="29" applyFont="1" applyFill="1" applyAlignment="1">
      <alignment horizontal="left" vertical="center"/>
    </xf>
    <xf numFmtId="41" fontId="12" fillId="5" borderId="0" xfId="29" applyNumberFormat="1" applyFont="1" applyFill="1" applyAlignment="1">
      <alignment vertical="center"/>
    </xf>
    <xf numFmtId="41" fontId="12" fillId="3" borderId="0" xfId="29" applyNumberFormat="1" applyFont="1" applyFill="1" applyAlignment="1">
      <alignment vertical="center"/>
    </xf>
    <xf numFmtId="41" fontId="7" fillId="5" borderId="0" xfId="29" applyNumberFormat="1" applyFont="1" applyFill="1" applyAlignment="1">
      <alignment vertical="center"/>
    </xf>
    <xf numFmtId="177" fontId="21" fillId="5" borderId="0" xfId="29" applyNumberFormat="1" applyFont="1" applyFill="1"/>
    <xf numFmtId="177" fontId="21" fillId="3" borderId="0" xfId="29" applyNumberFormat="1" applyFont="1" applyFill="1"/>
    <xf numFmtId="0" fontId="12" fillId="0" borderId="0" xfId="29" applyFont="1" applyAlignment="1">
      <alignment vertical="center"/>
    </xf>
    <xf numFmtId="0" fontId="42" fillId="5" borderId="0" xfId="29" applyFont="1" applyFill="1"/>
    <xf numFmtId="41" fontId="12" fillId="5" borderId="0" xfId="29" applyNumberFormat="1" applyFont="1" applyFill="1" applyAlignment="1">
      <alignment horizontal="left" vertical="center"/>
    </xf>
    <xf numFmtId="41" fontId="12" fillId="3" borderId="0" xfId="29" applyNumberFormat="1" applyFont="1" applyFill="1" applyAlignment="1">
      <alignment horizontal="left" vertical="center"/>
    </xf>
    <xf numFmtId="41" fontId="7" fillId="5" borderId="0" xfId="29" applyNumberFormat="1" applyFont="1" applyFill="1" applyAlignment="1">
      <alignment horizontal="left" vertical="center"/>
    </xf>
    <xf numFmtId="41" fontId="21" fillId="5" borderId="0" xfId="29" applyNumberFormat="1" applyFont="1" applyFill="1" applyAlignment="1">
      <alignment vertical="center"/>
    </xf>
    <xf numFmtId="41" fontId="21" fillId="3" borderId="0" xfId="29" applyNumberFormat="1" applyFont="1" applyFill="1" applyAlignment="1">
      <alignment vertical="center"/>
    </xf>
    <xf numFmtId="41" fontId="8" fillId="5" borderId="0" xfId="29" applyNumberFormat="1" applyFont="1" applyFill="1" applyAlignment="1">
      <alignment vertical="center"/>
    </xf>
    <xf numFmtId="41" fontId="21" fillId="5" borderId="0" xfId="29" applyNumberFormat="1" applyFont="1" applyFill="1" applyAlignment="1">
      <alignment horizontal="left" vertical="center"/>
    </xf>
    <xf numFmtId="41" fontId="8" fillId="5" borderId="0" xfId="29" applyNumberFormat="1" applyFont="1" applyFill="1" applyAlignment="1">
      <alignment horizontal="left" vertical="center"/>
    </xf>
    <xf numFmtId="0" fontId="26" fillId="5" borderId="0" xfId="29" applyFont="1" applyFill="1" applyAlignment="1">
      <alignment horizontal="left"/>
    </xf>
    <xf numFmtId="41" fontId="12" fillId="3" borderId="0" xfId="29" applyNumberFormat="1" applyFont="1" applyFill="1" applyAlignment="1">
      <alignment vertical="center" wrapText="1"/>
    </xf>
    <xf numFmtId="41" fontId="12" fillId="5" borderId="0" xfId="29" applyNumberFormat="1" applyFont="1" applyFill="1" applyAlignment="1">
      <alignment vertical="center" wrapText="1"/>
    </xf>
    <xf numFmtId="0" fontId="26" fillId="5" borderId="0" xfId="29" applyFont="1" applyFill="1" applyAlignment="1">
      <alignment wrapText="1"/>
    </xf>
    <xf numFmtId="0" fontId="12" fillId="5" borderId="0" xfId="29" applyFont="1" applyFill="1" applyAlignment="1">
      <alignment vertical="center" wrapText="1"/>
    </xf>
    <xf numFmtId="0" fontId="12" fillId="5" borderId="0" xfId="29" applyFont="1" applyFill="1" applyAlignment="1">
      <alignment horizontal="left" vertical="center" wrapText="1"/>
    </xf>
    <xf numFmtId="41" fontId="12" fillId="5" borderId="0" xfId="29" applyNumberFormat="1" applyFont="1" applyFill="1" applyAlignment="1">
      <alignment horizontal="left" vertical="center" wrapText="1"/>
    </xf>
    <xf numFmtId="41" fontId="7" fillId="5" borderId="0" xfId="29" applyNumberFormat="1" applyFont="1" applyFill="1" applyAlignment="1">
      <alignment horizontal="left" vertical="center" wrapText="1"/>
    </xf>
    <xf numFmtId="0" fontId="12" fillId="5" borderId="17" xfId="29" applyFont="1" applyFill="1" applyBorder="1" applyAlignment="1">
      <alignment vertical="center"/>
    </xf>
    <xf numFmtId="41" fontId="12" fillId="5" borderId="17" xfId="29" applyNumberFormat="1" applyFont="1" applyFill="1" applyBorder="1" applyAlignment="1">
      <alignment vertical="center"/>
    </xf>
    <xf numFmtId="41" fontId="12" fillId="3" borderId="17" xfId="29" applyNumberFormat="1" applyFont="1" applyFill="1" applyBorder="1" applyAlignment="1">
      <alignment vertical="center"/>
    </xf>
    <xf numFmtId="41" fontId="7" fillId="5" borderId="17" xfId="29" applyNumberFormat="1" applyFont="1" applyFill="1" applyBorder="1" applyAlignment="1">
      <alignment vertical="center"/>
    </xf>
    <xf numFmtId="0" fontId="21" fillId="5" borderId="18" xfId="29" applyFont="1" applyFill="1" applyBorder="1" applyAlignment="1">
      <alignment vertical="center"/>
    </xf>
    <xf numFmtId="41" fontId="21" fillId="5" borderId="18" xfId="29" applyNumberFormat="1" applyFont="1" applyFill="1" applyBorder="1" applyAlignment="1">
      <alignment vertical="center"/>
    </xf>
    <xf numFmtId="41" fontId="21" fillId="3" borderId="18" xfId="29" applyNumberFormat="1" applyFont="1" applyFill="1" applyBorder="1" applyAlignment="1">
      <alignment vertical="center"/>
    </xf>
    <xf numFmtId="41" fontId="8" fillId="5" borderId="18" xfId="29" applyNumberFormat="1" applyFont="1" applyFill="1" applyBorder="1" applyAlignment="1">
      <alignment vertical="center"/>
    </xf>
    <xf numFmtId="0" fontId="21" fillId="3" borderId="0" xfId="29" applyFont="1" applyFill="1"/>
    <xf numFmtId="0" fontId="12" fillId="3" borderId="0" xfId="29" applyFont="1" applyFill="1" applyAlignment="1">
      <alignment wrapText="1"/>
    </xf>
    <xf numFmtId="0" fontId="8" fillId="2" borderId="0" xfId="32" applyFont="1" applyFill="1" applyAlignment="1">
      <alignment horizontal="left"/>
    </xf>
    <xf numFmtId="41" fontId="21" fillId="2" borderId="0" xfId="29" applyNumberFormat="1" applyFont="1" applyFill="1"/>
    <xf numFmtId="41" fontId="8" fillId="2" borderId="0" xfId="29" applyNumberFormat="1" applyFont="1" applyFill="1"/>
    <xf numFmtId="0" fontId="7" fillId="5" borderId="0" xfId="32" applyFont="1" applyFill="1" applyAlignment="1">
      <alignment horizontal="left" indent="1"/>
    </xf>
    <xf numFmtId="0" fontId="7" fillId="5" borderId="0" xfId="32" applyFont="1" applyFill="1" applyAlignment="1">
      <alignment horizontal="left" wrapText="1" indent="3"/>
    </xf>
    <xf numFmtId="0" fontId="7" fillId="5" borderId="0" xfId="32" applyFont="1" applyFill="1" applyAlignment="1">
      <alignment horizontal="left" indent="3"/>
    </xf>
    <xf numFmtId="41" fontId="7" fillId="5" borderId="0" xfId="32" applyNumberFormat="1" applyFont="1" applyFill="1" applyAlignment="1">
      <alignment horizontal="left" indent="3"/>
    </xf>
    <xf numFmtId="0" fontId="8" fillId="5" borderId="0" xfId="32" applyFont="1" applyFill="1" applyAlignment="1">
      <alignment horizontal="left"/>
    </xf>
    <xf numFmtId="0" fontId="8" fillId="2" borderId="0" xfId="32" applyFont="1" applyFill="1" applyAlignment="1">
      <alignment horizontal="left"/>
    </xf>
    <xf numFmtId="0" fontId="7" fillId="5" borderId="17" xfId="32" applyFont="1" applyFill="1" applyBorder="1" applyAlignment="1">
      <alignment horizontal="left" indent="1"/>
    </xf>
    <xf numFmtId="0" fontId="12" fillId="5" borderId="17" xfId="29" applyFont="1" applyFill="1" applyBorder="1"/>
    <xf numFmtId="0" fontId="26" fillId="5" borderId="17" xfId="29" applyFont="1" applyFill="1" applyBorder="1"/>
    <xf numFmtId="41" fontId="12" fillId="5" borderId="17" xfId="29" applyNumberFormat="1" applyFont="1" applyFill="1" applyBorder="1"/>
    <xf numFmtId="41" fontId="12" fillId="3" borderId="17" xfId="29" applyNumberFormat="1" applyFont="1" applyFill="1" applyBorder="1"/>
    <xf numFmtId="41" fontId="7" fillId="5" borderId="17" xfId="29" applyNumberFormat="1" applyFont="1" applyFill="1" applyBorder="1"/>
    <xf numFmtId="0" fontId="17" fillId="0" borderId="0" xfId="41" applyFont="1" applyAlignment="1">
      <alignment horizontal="left"/>
    </xf>
    <xf numFmtId="0" fontId="14" fillId="0" borderId="0" xfId="41" applyFont="1" applyAlignment="1">
      <alignment horizontal="center" vertical="center"/>
    </xf>
    <xf numFmtId="178" fontId="14" fillId="0" borderId="0" xfId="41" applyNumberFormat="1" applyFont="1" applyAlignment="1">
      <alignment horizontal="center" vertical="center"/>
    </xf>
    <xf numFmtId="0" fontId="36" fillId="0" borderId="0" xfId="41" applyFont="1"/>
    <xf numFmtId="0" fontId="36" fillId="0" borderId="0" xfId="41" applyFont="1" applyAlignment="1">
      <alignment horizontal="center"/>
    </xf>
    <xf numFmtId="0" fontId="17" fillId="0" borderId="0" xfId="41" applyFont="1" applyAlignment="1">
      <alignment horizontal="center" vertical="center"/>
    </xf>
    <xf numFmtId="0" fontId="36" fillId="0" borderId="0" xfId="41" applyFont="1" applyAlignment="1">
      <alignment horizontal="left"/>
    </xf>
    <xf numFmtId="0" fontId="14" fillId="0" borderId="0" xfId="41" applyFont="1" applyAlignment="1">
      <alignment horizontal="left"/>
    </xf>
    <xf numFmtId="0" fontId="36" fillId="0" borderId="0" xfId="41" applyFont="1" applyAlignment="1">
      <alignment horizontal="right"/>
    </xf>
    <xf numFmtId="0" fontId="8" fillId="0" borderId="11" xfId="41" applyFont="1" applyBorder="1" applyAlignment="1">
      <alignment horizontal="left" vertical="center" wrapText="1"/>
    </xf>
    <xf numFmtId="0" fontId="8" fillId="0" borderId="11" xfId="41" applyFont="1" applyBorder="1" applyAlignment="1">
      <alignment horizontal="center" vertical="center"/>
    </xf>
    <xf numFmtId="0" fontId="8" fillId="0" borderId="11" xfId="41" applyFont="1" applyBorder="1" applyAlignment="1">
      <alignment horizontal="center" vertical="center" wrapText="1"/>
    </xf>
    <xf numFmtId="0" fontId="8" fillId="0" borderId="11" xfId="41" applyFont="1" applyBorder="1" applyAlignment="1">
      <alignment horizontal="center"/>
    </xf>
    <xf numFmtId="0" fontId="8" fillId="0" borderId="12" xfId="41" applyFont="1" applyBorder="1" applyAlignment="1">
      <alignment horizontal="center" vertical="center"/>
    </xf>
    <xf numFmtId="0" fontId="8" fillId="0" borderId="13" xfId="41" applyFont="1" applyBorder="1" applyAlignment="1">
      <alignment horizontal="center" vertical="center"/>
    </xf>
    <xf numFmtId="0" fontId="8" fillId="0" borderId="19" xfId="41" applyFont="1" applyBorder="1" applyAlignment="1">
      <alignment horizontal="center" vertical="center" wrapText="1"/>
    </xf>
    <xf numFmtId="0" fontId="8" fillId="0" borderId="20" xfId="41" applyFont="1" applyBorder="1" applyAlignment="1">
      <alignment horizontal="center" vertical="center" wrapText="1"/>
    </xf>
    <xf numFmtId="0" fontId="8" fillId="0" borderId="4" xfId="41" applyFont="1" applyBorder="1" applyAlignment="1">
      <alignment horizontal="left" vertical="center" wrapText="1"/>
    </xf>
    <xf numFmtId="0" fontId="8" fillId="0" borderId="4" xfId="41" applyFont="1" applyBorder="1" applyAlignment="1">
      <alignment horizontal="center" vertical="center"/>
    </xf>
    <xf numFmtId="0" fontId="8" fillId="0" borderId="4" xfId="41" applyFont="1" applyBorder="1" applyAlignment="1">
      <alignment horizontal="center" vertical="center" wrapText="1"/>
    </xf>
    <xf numFmtId="0" fontId="8" fillId="0" borderId="4" xfId="41" applyFont="1" applyBorder="1" applyAlignment="1">
      <alignment horizontal="center"/>
    </xf>
    <xf numFmtId="0" fontId="8" fillId="0" borderId="0" xfId="41" applyFont="1" applyAlignment="1">
      <alignment horizontal="center"/>
    </xf>
    <xf numFmtId="0" fontId="8" fillId="0" borderId="5" xfId="41" applyFont="1" applyBorder="1" applyAlignment="1">
      <alignment horizontal="center"/>
    </xf>
    <xf numFmtId="0" fontId="8" fillId="0" borderId="1" xfId="41" applyFont="1" applyBorder="1" applyAlignment="1">
      <alignment horizontal="center" vertical="center"/>
    </xf>
    <xf numFmtId="0" fontId="8" fillId="0" borderId="17" xfId="41" applyFont="1" applyBorder="1" applyAlignment="1">
      <alignment horizontal="center"/>
    </xf>
    <xf numFmtId="0" fontId="8" fillId="0" borderId="1" xfId="41" applyFont="1" applyBorder="1" applyAlignment="1">
      <alignment horizontal="center"/>
    </xf>
    <xf numFmtId="0" fontId="8" fillId="0" borderId="6" xfId="41" applyFont="1" applyBorder="1" applyAlignment="1">
      <alignment horizontal="center"/>
    </xf>
    <xf numFmtId="0" fontId="7" fillId="3" borderId="0" xfId="41" applyFont="1" applyFill="1" applyAlignment="1">
      <alignment horizontal="left"/>
    </xf>
    <xf numFmtId="178" fontId="7" fillId="3" borderId="0" xfId="42" applyNumberFormat="1" applyFont="1" applyFill="1" applyBorder="1" applyAlignment="1">
      <alignment horizontal="center"/>
    </xf>
    <xf numFmtId="178" fontId="7" fillId="3" borderId="11" xfId="42" applyNumberFormat="1" applyFont="1" applyFill="1" applyBorder="1" applyAlignment="1">
      <alignment horizontal="center"/>
    </xf>
    <xf numFmtId="178" fontId="7" fillId="3" borderId="4" xfId="42" applyNumberFormat="1" applyFont="1" applyFill="1" applyBorder="1" applyAlignment="1">
      <alignment horizontal="center"/>
    </xf>
    <xf numFmtId="178" fontId="7" fillId="3" borderId="5" xfId="42" applyNumberFormat="1" applyFont="1" applyFill="1" applyBorder="1" applyAlignment="1">
      <alignment horizontal="center"/>
    </xf>
    <xf numFmtId="166" fontId="7" fillId="3" borderId="4" xfId="42" applyNumberFormat="1" applyFont="1" applyFill="1" applyBorder="1" applyAlignment="1">
      <alignment horizontal="right"/>
    </xf>
    <xf numFmtId="0" fontId="7" fillId="0" borderId="0" xfId="41" applyFont="1"/>
    <xf numFmtId="0" fontId="7" fillId="0" borderId="0" xfId="41" applyFont="1" applyAlignment="1">
      <alignment horizontal="left"/>
    </xf>
    <xf numFmtId="178" fontId="7" fillId="0" borderId="0" xfId="42" applyNumberFormat="1" applyFont="1" applyFill="1" applyBorder="1" applyAlignment="1">
      <alignment horizontal="center"/>
    </xf>
    <xf numFmtId="178" fontId="7" fillId="0" borderId="4" xfId="42" applyNumberFormat="1" applyFont="1" applyFill="1" applyBorder="1" applyAlignment="1">
      <alignment horizontal="center"/>
    </xf>
    <xf numFmtId="178" fontId="7" fillId="0" borderId="5" xfId="42" applyNumberFormat="1" applyFont="1" applyFill="1" applyBorder="1" applyAlignment="1">
      <alignment horizontal="center"/>
    </xf>
    <xf numFmtId="166" fontId="7" fillId="0" borderId="4" xfId="42" applyNumberFormat="1" applyFont="1" applyFill="1" applyBorder="1" applyAlignment="1">
      <alignment horizontal="right"/>
    </xf>
    <xf numFmtId="166" fontId="7" fillId="0" borderId="0" xfId="41" applyNumberFormat="1" applyFont="1"/>
    <xf numFmtId="0" fontId="7" fillId="0" borderId="4" xfId="41" applyFont="1" applyBorder="1" applyAlignment="1">
      <alignment horizontal="left"/>
    </xf>
    <xf numFmtId="166" fontId="7" fillId="0" borderId="0" xfId="42" applyNumberFormat="1" applyFont="1" applyFill="1" applyBorder="1" applyAlignment="1">
      <alignment horizontal="right"/>
    </xf>
    <xf numFmtId="0" fontId="7" fillId="3" borderId="4" xfId="41" applyFont="1" applyFill="1" applyBorder="1" applyAlignment="1">
      <alignment horizontal="left"/>
    </xf>
    <xf numFmtId="166" fontId="7" fillId="3" borderId="0" xfId="42" applyNumberFormat="1" applyFont="1" applyFill="1" applyBorder="1" applyAlignment="1">
      <alignment horizontal="right"/>
    </xf>
    <xf numFmtId="0" fontId="7" fillId="6" borderId="4" xfId="41" applyFont="1" applyFill="1" applyBorder="1" applyAlignment="1">
      <alignment horizontal="left"/>
    </xf>
    <xf numFmtId="178" fontId="7" fillId="6" borderId="0" xfId="42" applyNumberFormat="1" applyFont="1" applyFill="1" applyBorder="1" applyAlignment="1">
      <alignment horizontal="center"/>
    </xf>
    <xf numFmtId="178" fontId="7" fillId="6" borderId="4" xfId="42" applyNumberFormat="1" applyFont="1" applyFill="1" applyBorder="1" applyAlignment="1">
      <alignment horizontal="center"/>
    </xf>
    <xf numFmtId="166" fontId="7" fillId="6" borderId="0" xfId="42" applyNumberFormat="1" applyFont="1" applyFill="1" applyBorder="1" applyAlignment="1">
      <alignment horizontal="right"/>
    </xf>
    <xf numFmtId="166" fontId="7" fillId="6" borderId="4" xfId="42" applyNumberFormat="1" applyFont="1" applyFill="1" applyBorder="1" applyAlignment="1">
      <alignment horizontal="right"/>
    </xf>
    <xf numFmtId="166" fontId="7" fillId="6" borderId="0" xfId="41" applyNumberFormat="1" applyFont="1" applyFill="1"/>
    <xf numFmtId="0" fontId="7" fillId="6" borderId="0" xfId="41" applyFont="1" applyFill="1"/>
    <xf numFmtId="167" fontId="23" fillId="0" borderId="4" xfId="41" applyNumberFormat="1" applyFont="1" applyBorder="1" applyAlignment="1">
      <alignment horizontal="left"/>
    </xf>
    <xf numFmtId="17" fontId="12" fillId="3" borderId="4" xfId="41" applyNumberFormat="1" applyFont="1" applyFill="1" applyBorder="1" applyAlignment="1">
      <alignment horizontal="left"/>
    </xf>
    <xf numFmtId="17" fontId="12" fillId="5" borderId="4" xfId="41" applyNumberFormat="1" applyFont="1" applyFill="1" applyBorder="1" applyAlignment="1">
      <alignment horizontal="left"/>
    </xf>
    <xf numFmtId="43" fontId="7" fillId="0" borderId="0" xfId="41" applyNumberFormat="1" applyFont="1"/>
    <xf numFmtId="167" fontId="7" fillId="0" borderId="0" xfId="41" applyNumberFormat="1" applyFont="1"/>
    <xf numFmtId="181" fontId="7" fillId="0" borderId="0" xfId="41" applyNumberFormat="1" applyFont="1"/>
    <xf numFmtId="178" fontId="7" fillId="3" borderId="4" xfId="42" applyNumberFormat="1" applyFont="1" applyFill="1" applyBorder="1" applyAlignment="1">
      <alignment horizontal="right"/>
    </xf>
    <xf numFmtId="167" fontId="23" fillId="0" borderId="1" xfId="41" applyNumberFormat="1" applyFont="1" applyBorder="1" applyAlignment="1">
      <alignment horizontal="left"/>
    </xf>
    <xf numFmtId="178" fontId="7" fillId="0" borderId="17" xfId="42" applyNumberFormat="1" applyFont="1" applyFill="1" applyBorder="1" applyAlignment="1">
      <alignment horizontal="center"/>
    </xf>
    <xf numFmtId="178" fontId="7" fillId="0" borderId="1" xfId="42" applyNumberFormat="1" applyFont="1" applyFill="1" applyBorder="1" applyAlignment="1">
      <alignment horizontal="center"/>
    </xf>
    <xf numFmtId="178" fontId="36" fillId="0" borderId="0" xfId="41" applyNumberFormat="1" applyFont="1" applyAlignment="1">
      <alignment horizontal="center"/>
    </xf>
    <xf numFmtId="0" fontId="43" fillId="0" borderId="0" xfId="41" applyFont="1" applyAlignment="1">
      <alignment horizontal="right"/>
    </xf>
    <xf numFmtId="43" fontId="36" fillId="0" borderId="0" xfId="41" applyNumberFormat="1" applyFont="1"/>
    <xf numFmtId="178" fontId="36" fillId="0" borderId="0" xfId="41" applyNumberFormat="1" applyFont="1"/>
    <xf numFmtId="43" fontId="36" fillId="0" borderId="0" xfId="41" applyNumberFormat="1" applyFont="1" applyAlignment="1">
      <alignment horizontal="center"/>
    </xf>
    <xf numFmtId="167" fontId="36" fillId="0" borderId="0" xfId="41" applyNumberFormat="1" applyFont="1" applyAlignment="1">
      <alignment horizontal="center"/>
    </xf>
    <xf numFmtId="182" fontId="36" fillId="0" borderId="0" xfId="41" applyNumberFormat="1" applyFont="1" applyAlignment="1">
      <alignment horizontal="center"/>
    </xf>
    <xf numFmtId="0" fontId="5" fillId="0" borderId="0" xfId="41" applyFont="1" applyAlignment="1">
      <alignment horizontal="left" vertical="center" wrapText="1"/>
    </xf>
    <xf numFmtId="0" fontId="14" fillId="0" borderId="0" xfId="41" applyFont="1"/>
    <xf numFmtId="2" fontId="14" fillId="0" borderId="0" xfId="41" applyNumberFormat="1" applyFont="1" applyAlignment="1">
      <alignment horizontal="right"/>
    </xf>
    <xf numFmtId="2" fontId="36" fillId="0" borderId="0" xfId="41" applyNumberFormat="1" applyFont="1" applyAlignment="1">
      <alignment horizontal="center"/>
    </xf>
    <xf numFmtId="0" fontId="36" fillId="0" borderId="11" xfId="41" applyFont="1" applyBorder="1" applyAlignment="1">
      <alignment horizontal="left" vertical="center" wrapText="1"/>
    </xf>
    <xf numFmtId="0" fontId="36" fillId="0" borderId="11" xfId="41" applyFont="1" applyBorder="1" applyAlignment="1">
      <alignment horizontal="center" vertical="center" wrapText="1"/>
    </xf>
    <xf numFmtId="0" fontId="36" fillId="0" borderId="21" xfId="41" applyFont="1" applyBorder="1" applyAlignment="1">
      <alignment horizontal="center" vertical="center"/>
    </xf>
    <xf numFmtId="0" fontId="36" fillId="0" borderId="22" xfId="41" applyFont="1" applyBorder="1" applyAlignment="1">
      <alignment horizontal="center" vertical="center"/>
    </xf>
    <xf numFmtId="167" fontId="36" fillId="0" borderId="23" xfId="41" applyNumberFormat="1" applyFont="1" applyBorder="1" applyAlignment="1">
      <alignment horizontal="center" vertical="center"/>
    </xf>
    <xf numFmtId="167" fontId="36" fillId="0" borderId="24" xfId="41" applyNumberFormat="1" applyFont="1" applyBorder="1" applyAlignment="1">
      <alignment horizontal="center" vertical="center"/>
    </xf>
    <xf numFmtId="0" fontId="36" fillId="0" borderId="4" xfId="41" applyFont="1" applyBorder="1" applyAlignment="1">
      <alignment horizontal="left" vertical="center" wrapText="1"/>
    </xf>
    <xf numFmtId="0" fontId="36" fillId="0" borderId="4" xfId="41" applyFont="1" applyBorder="1" applyAlignment="1">
      <alignment horizontal="center" vertical="center" wrapText="1"/>
    </xf>
    <xf numFmtId="0" fontId="36" fillId="0" borderId="25" xfId="41" applyFont="1" applyBorder="1" applyAlignment="1">
      <alignment horizontal="center"/>
    </xf>
    <xf numFmtId="0" fontId="36" fillId="0" borderId="26" xfId="41" applyFont="1" applyBorder="1" applyAlignment="1">
      <alignment horizontal="center" vertical="center"/>
    </xf>
    <xf numFmtId="0" fontId="36" fillId="0" borderId="27" xfId="41" applyFont="1" applyBorder="1" applyAlignment="1">
      <alignment horizontal="center"/>
    </xf>
    <xf numFmtId="2" fontId="36" fillId="0" borderId="26" xfId="41" applyNumberFormat="1" applyFont="1" applyBorder="1" applyAlignment="1">
      <alignment horizontal="center"/>
    </xf>
    <xf numFmtId="2" fontId="36" fillId="0" borderId="28" xfId="41" applyNumberFormat="1" applyFont="1" applyBorder="1" applyAlignment="1">
      <alignment horizontal="center"/>
    </xf>
    <xf numFmtId="167" fontId="36" fillId="0" borderId="26" xfId="41" applyNumberFormat="1" applyFont="1" applyBorder="1" applyAlignment="1">
      <alignment horizontal="center"/>
    </xf>
    <xf numFmtId="167" fontId="36" fillId="0" borderId="29" xfId="41" applyNumberFormat="1" applyFont="1" applyBorder="1" applyAlignment="1">
      <alignment horizontal="center"/>
    </xf>
    <xf numFmtId="0" fontId="36" fillId="0" borderId="1" xfId="41" applyFont="1" applyBorder="1" applyAlignment="1">
      <alignment horizontal="left" vertical="center" wrapText="1"/>
    </xf>
    <xf numFmtId="0" fontId="36" fillId="0" borderId="1" xfId="41" applyFont="1" applyBorder="1" applyAlignment="1">
      <alignment horizontal="center" vertical="center" wrapText="1"/>
    </xf>
    <xf numFmtId="0" fontId="36" fillId="0" borderId="30" xfId="41" applyFont="1" applyBorder="1" applyAlignment="1">
      <alignment horizontal="center"/>
    </xf>
    <xf numFmtId="0" fontId="36" fillId="0" borderId="31" xfId="41" applyFont="1" applyBorder="1" applyAlignment="1">
      <alignment horizontal="center" vertical="center"/>
    </xf>
    <xf numFmtId="0" fontId="36" fillId="0" borderId="30" xfId="41" applyFont="1" applyBorder="1"/>
    <xf numFmtId="0" fontId="36" fillId="0" borderId="31" xfId="41" applyFont="1" applyBorder="1" applyAlignment="1">
      <alignment horizontal="center"/>
    </xf>
    <xf numFmtId="2" fontId="36" fillId="0" borderId="30" xfId="41" applyNumberFormat="1" applyFont="1" applyBorder="1" applyAlignment="1">
      <alignment horizontal="center"/>
    </xf>
    <xf numFmtId="2" fontId="36" fillId="0" borderId="32" xfId="41" applyNumberFormat="1" applyFont="1" applyBorder="1" applyAlignment="1">
      <alignment horizontal="center"/>
    </xf>
    <xf numFmtId="167" fontId="36" fillId="0" borderId="31" xfId="41" applyNumberFormat="1" applyFont="1" applyBorder="1" applyAlignment="1">
      <alignment horizontal="center"/>
    </xf>
    <xf numFmtId="167" fontId="36" fillId="0" borderId="33" xfId="41" applyNumberFormat="1" applyFont="1" applyBorder="1" applyAlignment="1">
      <alignment horizontal="center"/>
    </xf>
    <xf numFmtId="0" fontId="36" fillId="3" borderId="4" xfId="41" applyFont="1" applyFill="1" applyBorder="1" applyAlignment="1">
      <alignment horizontal="left"/>
    </xf>
    <xf numFmtId="0" fontId="36" fillId="3" borderId="5" xfId="41" applyFont="1" applyFill="1" applyBorder="1" applyAlignment="1">
      <alignment horizontal="left"/>
    </xf>
    <xf numFmtId="4" fontId="36" fillId="3" borderId="34" xfId="41" applyNumberFormat="1" applyFont="1" applyFill="1" applyBorder="1" applyAlignment="1">
      <alignment horizontal="center"/>
    </xf>
    <xf numFmtId="2" fontId="36" fillId="3" borderId="4" xfId="41" applyNumberFormat="1" applyFont="1" applyFill="1" applyBorder="1" applyAlignment="1">
      <alignment horizontal="center"/>
    </xf>
    <xf numFmtId="0" fontId="7" fillId="0" borderId="5" xfId="41" applyFont="1" applyBorder="1" applyAlignment="1">
      <alignment horizontal="left"/>
    </xf>
    <xf numFmtId="4" fontId="7" fillId="0" borderId="34" xfId="41" applyNumberFormat="1" applyFont="1" applyBorder="1" applyAlignment="1">
      <alignment horizontal="center"/>
    </xf>
    <xf numFmtId="2" fontId="7" fillId="0" borderId="4" xfId="41" applyNumberFormat="1" applyFont="1" applyBorder="1" applyAlignment="1">
      <alignment horizontal="center"/>
    </xf>
    <xf numFmtId="0" fontId="7" fillId="3" borderId="5" xfId="41" applyFont="1" applyFill="1" applyBorder="1" applyAlignment="1">
      <alignment horizontal="left"/>
    </xf>
    <xf numFmtId="4" fontId="7" fillId="3" borderId="34" xfId="41" applyNumberFormat="1" applyFont="1" applyFill="1" applyBorder="1" applyAlignment="1">
      <alignment horizontal="center"/>
    </xf>
    <xf numFmtId="2" fontId="7" fillId="3" borderId="4" xfId="41" applyNumberFormat="1" applyFont="1" applyFill="1" applyBorder="1" applyAlignment="1">
      <alignment horizontal="center"/>
    </xf>
    <xf numFmtId="2" fontId="7" fillId="0" borderId="0" xfId="41" applyNumberFormat="1" applyFont="1"/>
    <xf numFmtId="2" fontId="7" fillId="0" borderId="10" xfId="41" applyNumberFormat="1" applyFont="1" applyBorder="1" applyAlignment="1">
      <alignment horizontal="center"/>
    </xf>
    <xf numFmtId="0" fontId="7" fillId="3" borderId="5" xfId="41" applyFont="1" applyFill="1" applyBorder="1"/>
    <xf numFmtId="2" fontId="7" fillId="3" borderId="5" xfId="41" applyNumberFormat="1" applyFont="1" applyFill="1" applyBorder="1" applyAlignment="1">
      <alignment horizontal="center"/>
    </xf>
    <xf numFmtId="0" fontId="7" fillId="0" borderId="5" xfId="41" applyFont="1" applyBorder="1"/>
    <xf numFmtId="2" fontId="7" fillId="0" borderId="5" xfId="41" applyNumberFormat="1" applyFont="1" applyBorder="1" applyAlignment="1">
      <alignment horizontal="center"/>
    </xf>
    <xf numFmtId="4" fontId="7" fillId="0" borderId="35" xfId="41" applyNumberFormat="1" applyFont="1" applyBorder="1" applyAlignment="1">
      <alignment horizontal="center"/>
    </xf>
    <xf numFmtId="2" fontId="7" fillId="0" borderId="0" xfId="41" applyNumberFormat="1" applyFont="1" applyAlignment="1">
      <alignment horizontal="center"/>
    </xf>
    <xf numFmtId="0" fontId="7" fillId="0" borderId="4" xfId="41" applyFont="1" applyBorder="1"/>
    <xf numFmtId="4" fontId="7" fillId="0" borderId="4" xfId="41" applyNumberFormat="1" applyFont="1" applyBorder="1" applyAlignment="1">
      <alignment horizontal="center"/>
    </xf>
    <xf numFmtId="0" fontId="12" fillId="3" borderId="4" xfId="41" applyFont="1" applyFill="1" applyBorder="1" applyAlignment="1">
      <alignment horizontal="center"/>
    </xf>
    <xf numFmtId="4" fontId="7" fillId="3" borderId="36" xfId="41" applyNumberFormat="1" applyFont="1" applyFill="1" applyBorder="1" applyAlignment="1">
      <alignment horizontal="center"/>
    </xf>
    <xf numFmtId="4" fontId="7" fillId="3" borderId="35" xfId="41" applyNumberFormat="1" applyFont="1" applyFill="1" applyBorder="1" applyAlignment="1">
      <alignment horizontal="center"/>
    </xf>
    <xf numFmtId="2" fontId="7" fillId="3" borderId="10" xfId="41" applyNumberFormat="1" applyFont="1" applyFill="1" applyBorder="1" applyAlignment="1">
      <alignment horizontal="center"/>
    </xf>
    <xf numFmtId="2" fontId="7" fillId="3" borderId="0" xfId="41" applyNumberFormat="1" applyFont="1" applyFill="1" applyAlignment="1">
      <alignment horizontal="center"/>
    </xf>
    <xf numFmtId="2" fontId="7" fillId="3" borderId="35" xfId="41" applyNumberFormat="1" applyFont="1" applyFill="1" applyBorder="1" applyAlignment="1">
      <alignment horizontal="center"/>
    </xf>
    <xf numFmtId="0" fontId="12" fillId="5" borderId="4" xfId="41" applyFont="1" applyFill="1" applyBorder="1" applyAlignment="1">
      <alignment horizontal="center"/>
    </xf>
    <xf numFmtId="4" fontId="7" fillId="0" borderId="36" xfId="41" applyNumberFormat="1" applyFont="1" applyBorder="1" applyAlignment="1">
      <alignment horizontal="center"/>
    </xf>
    <xf numFmtId="2" fontId="7" fillId="0" borderId="36" xfId="41" applyNumberFormat="1" applyFont="1" applyBorder="1" applyAlignment="1">
      <alignment horizontal="center"/>
    </xf>
    <xf numFmtId="17" fontId="12" fillId="0" borderId="4" xfId="41" applyNumberFormat="1" applyFont="1" applyBorder="1" applyAlignment="1">
      <alignment horizontal="left"/>
    </xf>
    <xf numFmtId="0" fontId="12" fillId="0" borderId="4" xfId="41" applyFont="1" applyBorder="1" applyAlignment="1">
      <alignment horizontal="center"/>
    </xf>
    <xf numFmtId="0" fontId="7" fillId="0" borderId="1" xfId="41" applyFont="1" applyBorder="1" applyAlignment="1">
      <alignment horizontal="left"/>
    </xf>
    <xf numFmtId="0" fontId="7" fillId="0" borderId="15" xfId="41" applyFont="1" applyBorder="1"/>
    <xf numFmtId="4" fontId="7" fillId="0" borderId="1" xfId="41" applyNumberFormat="1" applyFont="1" applyBorder="1" applyAlignment="1">
      <alignment horizontal="center"/>
    </xf>
    <xf numFmtId="2" fontId="7" fillId="0" borderId="1" xfId="41" applyNumberFormat="1" applyFont="1" applyBorder="1" applyAlignment="1">
      <alignment horizontal="center"/>
    </xf>
    <xf numFmtId="2" fontId="36" fillId="0" borderId="0" xfId="41" applyNumberFormat="1" applyFont="1"/>
    <xf numFmtId="164" fontId="36" fillId="0" borderId="0" xfId="42" applyFont="1" applyFill="1"/>
    <xf numFmtId="2" fontId="3" fillId="0" borderId="0" xfId="37" applyNumberFormat="1" applyFont="1" applyAlignment="1">
      <alignment horizontal="right"/>
    </xf>
    <xf numFmtId="2" fontId="18" fillId="0" borderId="0" xfId="26" applyNumberFormat="1" applyFont="1" applyFill="1" applyAlignment="1">
      <alignment horizontal="right"/>
    </xf>
    <xf numFmtId="0" fontId="22" fillId="5" borderId="0" xfId="41" applyFont="1" applyFill="1" applyAlignment="1">
      <alignment horizontal="center"/>
    </xf>
    <xf numFmtId="0" fontId="31" fillId="5" borderId="0" xfId="41" applyFont="1" applyFill="1"/>
    <xf numFmtId="2" fontId="31" fillId="5" borderId="0" xfId="41" applyNumberFormat="1" applyFont="1" applyFill="1"/>
    <xf numFmtId="2" fontId="36" fillId="0" borderId="0" xfId="41" applyNumberFormat="1" applyFont="1" applyAlignment="1">
      <alignment horizontal="right"/>
    </xf>
    <xf numFmtId="0" fontId="31" fillId="5" borderId="37" xfId="41" applyFont="1" applyFill="1" applyBorder="1" applyAlignment="1">
      <alignment horizontal="left" vertical="center"/>
    </xf>
    <xf numFmtId="0" fontId="31" fillId="5" borderId="37" xfId="41" applyFont="1" applyFill="1" applyBorder="1" applyAlignment="1">
      <alignment horizontal="center" vertical="center"/>
    </xf>
    <xf numFmtId="2" fontId="31" fillId="5" borderId="37" xfId="41" applyNumberFormat="1" applyFont="1" applyFill="1" applyBorder="1" applyAlignment="1">
      <alignment horizontal="center" vertical="center" wrapText="1"/>
    </xf>
    <xf numFmtId="0" fontId="31" fillId="5" borderId="37" xfId="41" applyFont="1" applyFill="1" applyBorder="1" applyAlignment="1">
      <alignment horizontal="center" vertical="center" wrapText="1"/>
    </xf>
    <xf numFmtId="2" fontId="31" fillId="5" borderId="37" xfId="41" applyNumberFormat="1" applyFont="1" applyFill="1" applyBorder="1" applyAlignment="1">
      <alignment horizontal="center" vertical="center" wrapText="1"/>
    </xf>
    <xf numFmtId="0" fontId="12" fillId="3" borderId="4" xfId="41" applyFont="1" applyFill="1" applyBorder="1"/>
    <xf numFmtId="2" fontId="12" fillId="3" borderId="4" xfId="41" applyNumberFormat="1" applyFont="1" applyFill="1" applyBorder="1"/>
    <xf numFmtId="0" fontId="12" fillId="5" borderId="4" xfId="41" applyFont="1" applyFill="1" applyBorder="1"/>
    <xf numFmtId="2" fontId="12" fillId="5" borderId="4" xfId="41" applyNumberFormat="1" applyFont="1" applyFill="1" applyBorder="1"/>
    <xf numFmtId="178" fontId="12" fillId="3" borderId="4" xfId="35" applyNumberFormat="1" applyFont="1" applyFill="1" applyBorder="1"/>
    <xf numFmtId="2" fontId="12" fillId="3" borderId="4" xfId="35" applyNumberFormat="1" applyFont="1" applyFill="1" applyBorder="1"/>
    <xf numFmtId="178" fontId="12" fillId="5" borderId="4" xfId="35" applyNumberFormat="1" applyFont="1" applyFill="1" applyBorder="1"/>
    <xf numFmtId="2" fontId="12" fillId="5" borderId="4" xfId="35" applyNumberFormat="1" applyFont="1" applyFill="1" applyBorder="1"/>
    <xf numFmtId="166" fontId="12" fillId="5" borderId="4" xfId="41" applyNumberFormat="1" applyFont="1" applyFill="1" applyBorder="1"/>
    <xf numFmtId="166" fontId="12" fillId="3" borderId="4" xfId="41" applyNumberFormat="1" applyFont="1" applyFill="1" applyBorder="1"/>
    <xf numFmtId="166" fontId="12" fillId="5" borderId="4" xfId="41" applyNumberFormat="1" applyFont="1" applyFill="1" applyBorder="1" applyAlignment="1">
      <alignment horizontal="right"/>
    </xf>
    <xf numFmtId="17" fontId="12" fillId="3" borderId="4" xfId="41" applyNumberFormat="1" applyFont="1" applyFill="1" applyBorder="1" applyAlignment="1">
      <alignment horizontal="right" indent="2"/>
    </xf>
    <xf numFmtId="17" fontId="12" fillId="5" borderId="4" xfId="41" applyNumberFormat="1" applyFont="1" applyFill="1" applyBorder="1" applyAlignment="1">
      <alignment horizontal="right" indent="2"/>
    </xf>
    <xf numFmtId="17" fontId="12" fillId="0" borderId="4" xfId="41" applyNumberFormat="1" applyFont="1" applyBorder="1" applyAlignment="1">
      <alignment horizontal="right" indent="2"/>
    </xf>
    <xf numFmtId="2" fontId="12" fillId="0" borderId="4" xfId="41" applyNumberFormat="1" applyFont="1" applyBorder="1"/>
    <xf numFmtId="166" fontId="12" fillId="0" borderId="4" xfId="41" applyNumberFormat="1" applyFont="1" applyBorder="1"/>
    <xf numFmtId="166" fontId="12" fillId="0" borderId="10" xfId="41" applyNumberFormat="1" applyFont="1" applyBorder="1"/>
    <xf numFmtId="2" fontId="12" fillId="0" borderId="10" xfId="41" applyNumberFormat="1" applyFont="1" applyBorder="1"/>
    <xf numFmtId="0" fontId="12" fillId="0" borderId="2" xfId="41" applyFont="1" applyBorder="1" applyAlignment="1">
      <alignment horizontal="center"/>
    </xf>
    <xf numFmtId="0" fontId="12" fillId="0" borderId="0" xfId="41" applyFont="1" applyAlignment="1">
      <alignment horizontal="center"/>
    </xf>
    <xf numFmtId="0" fontId="12" fillId="5" borderId="0" xfId="41" applyFont="1" applyFill="1" applyAlignment="1">
      <alignment horizontal="center"/>
    </xf>
    <xf numFmtId="166" fontId="12" fillId="5" borderId="10" xfId="41" applyNumberFormat="1" applyFont="1" applyFill="1" applyBorder="1"/>
    <xf numFmtId="17" fontId="12" fillId="3" borderId="4" xfId="41" applyNumberFormat="1" applyFont="1" applyFill="1" applyBorder="1" applyAlignment="1">
      <alignment horizontal="center"/>
    </xf>
    <xf numFmtId="0" fontId="12" fillId="3" borderId="0" xfId="41" applyFont="1" applyFill="1" applyAlignment="1">
      <alignment horizontal="center"/>
    </xf>
    <xf numFmtId="166" fontId="12" fillId="3" borderId="10" xfId="41" applyNumberFormat="1" applyFont="1" applyFill="1" applyBorder="1"/>
    <xf numFmtId="2" fontId="12" fillId="3" borderId="10" xfId="41" applyNumberFormat="1" applyFont="1" applyFill="1" applyBorder="1"/>
    <xf numFmtId="17" fontId="12" fillId="5" borderId="6" xfId="41" applyNumberFormat="1" applyFont="1" applyFill="1" applyBorder="1" applyAlignment="1">
      <alignment horizontal="right" indent="2"/>
    </xf>
    <xf numFmtId="0" fontId="12" fillId="5" borderId="38" xfId="41" applyFont="1" applyFill="1" applyBorder="1" applyAlignment="1">
      <alignment horizontal="center"/>
    </xf>
    <xf numFmtId="166" fontId="12" fillId="5" borderId="15" xfId="41" applyNumberFormat="1" applyFont="1" applyFill="1" applyBorder="1"/>
    <xf numFmtId="166" fontId="12" fillId="5" borderId="1" xfId="41" applyNumberFormat="1" applyFont="1" applyFill="1" applyBorder="1"/>
    <xf numFmtId="2" fontId="12" fillId="5" borderId="1" xfId="41" applyNumberFormat="1" applyFont="1" applyFill="1" applyBorder="1"/>
    <xf numFmtId="2" fontId="12" fillId="5" borderId="15" xfId="41" applyNumberFormat="1" applyFont="1" applyFill="1" applyBorder="1"/>
    <xf numFmtId="44" fontId="36" fillId="0" borderId="0" xfId="41" applyNumberFormat="1" applyFont="1"/>
  </cellXfs>
  <cellStyles count="43">
    <cellStyle name="Comma" xfId="35" builtinId="3"/>
    <cellStyle name="Comma 10" xfId="8" xr:uid="{C77DC035-E9C1-4884-A8B1-331475134206}"/>
    <cellStyle name="Comma 10 2" xfId="4" xr:uid="{0EF97C06-11C4-41DA-BA81-9CFD1F5EA0F8}"/>
    <cellStyle name="Comma 2" xfId="3" xr:uid="{7F38DD60-DD9D-4367-A757-635C3C9B9D57}"/>
    <cellStyle name="Comma 2 2" xfId="7" xr:uid="{E2A46A5B-BA80-418E-A892-2B1214058E72}"/>
    <cellStyle name="Comma 2 2 2" xfId="33" xr:uid="{B21ECEF5-5F95-4F07-A058-4856CB646AD7}"/>
    <cellStyle name="Comma 2 3" xfId="11" xr:uid="{A2AEDFE6-25DF-47B6-8728-247D41CB25B5}"/>
    <cellStyle name="Comma 2 4" xfId="23" xr:uid="{54039DFB-4B98-4269-B7E5-EF91C65E8773}"/>
    <cellStyle name="Comma 2 5" xfId="25" xr:uid="{4C40E936-1FF9-4716-9B41-5B56755C8BD5}"/>
    <cellStyle name="Comma 3" xfId="10" xr:uid="{B993FE2F-54E6-42AD-8083-0ECD4FC98B98}"/>
    <cellStyle name="Comma 3 2" xfId="19" xr:uid="{82CC9EE6-D1EF-4E4D-993E-6F389BB049B0}"/>
    <cellStyle name="Comma 39" xfId="39" xr:uid="{140A755A-3ACF-4563-99B8-FBA5FC53DEF0}"/>
    <cellStyle name="Comma 4" xfId="18" xr:uid="{15DBED69-F47E-43FA-8387-DEE56729E3D2}"/>
    <cellStyle name="Comma 5" xfId="22" xr:uid="{1F5F1DE1-D7EF-4F77-99ED-C25DCA07C2AE}"/>
    <cellStyle name="Comma 6" xfId="27" xr:uid="{755D8867-BE81-4FC8-AB5F-96D347B21775}"/>
    <cellStyle name="Comma 7" xfId="42" xr:uid="{301EB7BF-0560-41C3-AD1E-A0F81D1D05FF}"/>
    <cellStyle name="Comma 8" xfId="13" xr:uid="{2983C003-0758-4039-81E0-F0970123DC3E}"/>
    <cellStyle name="Hyperlink" xfId="26" builtinId="8"/>
    <cellStyle name="Hyperlink 2" xfId="38" xr:uid="{143F0575-42CD-49E6-980F-C04A9B3DE76A}"/>
    <cellStyle name="Normal" xfId="0" builtinId="0"/>
    <cellStyle name="Normal 11" xfId="16" xr:uid="{9B11C4A4-E401-46BD-A8D1-D964D970D913}"/>
    <cellStyle name="Normal 2" xfId="1" xr:uid="{9F99AA9F-20C5-48CF-B48C-47D87AB79568}"/>
    <cellStyle name="Normal 2 10" xfId="41" xr:uid="{7459C933-B1F2-494F-98AD-D4AD03FA5132}"/>
    <cellStyle name="Normal 2 2" xfId="12" xr:uid="{63C73EC8-7E6B-4A29-A583-4A4F33C5A2AD}"/>
    <cellStyle name="Normal 2 2 2" xfId="15" xr:uid="{5CC76FD4-EB83-4539-8276-471EA68418E2}"/>
    <cellStyle name="Normal 2 2 3" xfId="31" xr:uid="{37DDB539-99DE-4AC8-8E57-63CDF1DE4F58}"/>
    <cellStyle name="Normal 2 22" xfId="34" xr:uid="{1D979D04-F8DE-4E24-A5AE-A082FA77DC54}"/>
    <cellStyle name="Normal 2_Appendix Tables-AR2010" xfId="21" xr:uid="{9C2FEEB5-D25C-457B-91CA-B5E223241A8F}"/>
    <cellStyle name="Normal 22 2" xfId="24" xr:uid="{BB82F912-8384-4EE1-B1B5-F3974DE7E00E}"/>
    <cellStyle name="Normal 27" xfId="40" xr:uid="{8BF23464-8A4F-453F-98B1-0558E0240BFC}"/>
    <cellStyle name="Normal 28" xfId="29" xr:uid="{EFA48D10-CC89-4DA5-A78E-1E4EA92FD864}"/>
    <cellStyle name="Normal 28 2" xfId="30" xr:uid="{F876A29E-90B6-4BA0-9E0F-388BB84F0C56}"/>
    <cellStyle name="Normal 3" xfId="2" xr:uid="{B9520522-A3C0-4DA9-A1D9-FA9F7069301E}"/>
    <cellStyle name="Normal 3 2" xfId="6" xr:uid="{E6F3AA39-D719-4C8B-B6D3-3B4B7E0E92FF}"/>
    <cellStyle name="Normal 3 3" xfId="17" xr:uid="{F05E94FF-421C-4E04-ACE2-4B1D94EEF4DC}"/>
    <cellStyle name="Normal 30" xfId="32" xr:uid="{D420FD4B-5146-4DB3-A616-4654A4F167DB}"/>
    <cellStyle name="Normal 4" xfId="9" xr:uid="{DBC821BD-158C-4235-B80E-CF4DE291AA5C}"/>
    <cellStyle name="Normal 4 2" xfId="37" xr:uid="{EC244E7E-20D4-4587-A598-27230B22BF0B}"/>
    <cellStyle name="Normal 5 2" xfId="28" xr:uid="{680135C8-E214-4398-887E-EB1C3ADC3471}"/>
    <cellStyle name="Normal 7" xfId="20" xr:uid="{C39A3C07-E64E-43FE-A775-2F1E7A489F9A}"/>
    <cellStyle name="Normal_A_Ex" xfId="36" xr:uid="{7F3716FE-7EB1-45DD-A7E1-E6B617B3ACA6}"/>
    <cellStyle name="Percent 2" xfId="5" xr:uid="{E3EE1CFD-2B06-4529-8A78-1D8B82CA06C5}"/>
    <cellStyle name="Percent 2 2" xfId="14" xr:uid="{067DE652-2760-4C14-A733-1A99C46260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0</xdr:colOff>
      <xdr:row>121</xdr:row>
      <xdr:rowOff>0</xdr:rowOff>
    </xdr:from>
    <xdr:ext cx="76200" cy="202622"/>
    <xdr:sp macro="" textlink="">
      <xdr:nvSpPr>
        <xdr:cNvPr id="2" name="Text Box 1">
          <a:extLst>
            <a:ext uri="{FF2B5EF4-FFF2-40B4-BE49-F238E27FC236}">
              <a16:creationId xmlns:a16="http://schemas.microsoft.com/office/drawing/2014/main" id="{83778237-E232-4A4D-868B-FF5E29F4F52D}"/>
            </a:ext>
          </a:extLst>
        </xdr:cNvPr>
        <xdr:cNvSpPr txBox="1">
          <a:spLocks noChangeArrowheads="1"/>
        </xdr:cNvSpPr>
      </xdr:nvSpPr>
      <xdr:spPr bwMode="auto">
        <a:xfrm>
          <a:off x="5362575" y="51054000"/>
          <a:ext cx="76200" cy="202622"/>
        </a:xfrm>
        <a:prstGeom prst="rect">
          <a:avLst/>
        </a:prstGeom>
        <a:noFill/>
        <a:ln w="9525">
          <a:noFill/>
          <a:miter lim="800000"/>
          <a:headEnd/>
          <a:tailEnd/>
        </a:ln>
      </xdr:spPr>
    </xdr:sp>
    <xdr:clientData/>
  </xdr:oneCellAnchor>
  <xdr:oneCellAnchor>
    <xdr:from>
      <xdr:col>4</xdr:col>
      <xdr:colOff>0</xdr:colOff>
      <xdr:row>121</xdr:row>
      <xdr:rowOff>0</xdr:rowOff>
    </xdr:from>
    <xdr:ext cx="76200" cy="202622"/>
    <xdr:sp macro="" textlink="">
      <xdr:nvSpPr>
        <xdr:cNvPr id="3" name="Text Box 2">
          <a:extLst>
            <a:ext uri="{FF2B5EF4-FFF2-40B4-BE49-F238E27FC236}">
              <a16:creationId xmlns:a16="http://schemas.microsoft.com/office/drawing/2014/main" id="{CAD7BB1F-EF00-4A5E-B0D6-366EC77C0129}"/>
            </a:ext>
          </a:extLst>
        </xdr:cNvPr>
        <xdr:cNvSpPr txBox="1">
          <a:spLocks noChangeArrowheads="1"/>
        </xdr:cNvSpPr>
      </xdr:nvSpPr>
      <xdr:spPr bwMode="auto">
        <a:xfrm>
          <a:off x="6076950" y="51054000"/>
          <a:ext cx="76200" cy="202622"/>
        </a:xfrm>
        <a:prstGeom prst="rect">
          <a:avLst/>
        </a:prstGeom>
        <a:noFill/>
        <a:ln w="9525">
          <a:noFill/>
          <a:miter lim="800000"/>
          <a:headEnd/>
          <a:tailEnd/>
        </a:ln>
      </xdr:spPr>
    </xdr:sp>
    <xdr:clientData/>
  </xdr:oneCellAnchor>
  <xdr:oneCellAnchor>
    <xdr:from>
      <xdr:col>4</xdr:col>
      <xdr:colOff>0</xdr:colOff>
      <xdr:row>121</xdr:row>
      <xdr:rowOff>0</xdr:rowOff>
    </xdr:from>
    <xdr:ext cx="76200" cy="202622"/>
    <xdr:sp macro="" textlink="">
      <xdr:nvSpPr>
        <xdr:cNvPr id="4" name="Text Box 3">
          <a:extLst>
            <a:ext uri="{FF2B5EF4-FFF2-40B4-BE49-F238E27FC236}">
              <a16:creationId xmlns:a16="http://schemas.microsoft.com/office/drawing/2014/main" id="{4A8EA9F7-7D46-48F7-9326-C0CC4606E0E3}"/>
            </a:ext>
          </a:extLst>
        </xdr:cNvPr>
        <xdr:cNvSpPr txBox="1">
          <a:spLocks noChangeArrowheads="1"/>
        </xdr:cNvSpPr>
      </xdr:nvSpPr>
      <xdr:spPr bwMode="auto">
        <a:xfrm>
          <a:off x="6791325" y="51054000"/>
          <a:ext cx="76200" cy="202622"/>
        </a:xfrm>
        <a:prstGeom prst="rect">
          <a:avLst/>
        </a:prstGeom>
        <a:noFill/>
        <a:ln w="9525">
          <a:noFill/>
          <a:miter lim="800000"/>
          <a:headEnd/>
          <a:tailEnd/>
        </a:ln>
      </xdr:spPr>
    </xdr:sp>
    <xdr:clientData/>
  </xdr:oneCellAnchor>
  <xdr:oneCellAnchor>
    <xdr:from>
      <xdr:col>4</xdr:col>
      <xdr:colOff>390525</xdr:colOff>
      <xdr:row>121</xdr:row>
      <xdr:rowOff>0</xdr:rowOff>
    </xdr:from>
    <xdr:ext cx="76200" cy="202622"/>
    <xdr:sp macro="" textlink="">
      <xdr:nvSpPr>
        <xdr:cNvPr id="5" name="Text Box 4">
          <a:extLst>
            <a:ext uri="{FF2B5EF4-FFF2-40B4-BE49-F238E27FC236}">
              <a16:creationId xmlns:a16="http://schemas.microsoft.com/office/drawing/2014/main" id="{0FD3406E-4E20-4DA4-80BE-8356366DA33D}"/>
            </a:ext>
          </a:extLst>
        </xdr:cNvPr>
        <xdr:cNvSpPr txBox="1">
          <a:spLocks noChangeArrowheads="1"/>
        </xdr:cNvSpPr>
      </xdr:nvSpPr>
      <xdr:spPr bwMode="auto">
        <a:xfrm>
          <a:off x="7505700" y="51054000"/>
          <a:ext cx="76200" cy="202622"/>
        </a:xfrm>
        <a:prstGeom prst="rect">
          <a:avLst/>
        </a:prstGeom>
        <a:noFill/>
        <a:ln w="9525">
          <a:noFill/>
          <a:miter lim="800000"/>
          <a:headEnd/>
          <a:tailEnd/>
        </a:ln>
      </xdr:spPr>
    </xdr:sp>
    <xdr:clientData/>
  </xdr:oneCellAnchor>
  <xdr:oneCellAnchor>
    <xdr:from>
      <xdr:col>6</xdr:col>
      <xdr:colOff>352425</xdr:colOff>
      <xdr:row>121</xdr:row>
      <xdr:rowOff>0</xdr:rowOff>
    </xdr:from>
    <xdr:ext cx="76200" cy="202622"/>
    <xdr:sp macro="" textlink="">
      <xdr:nvSpPr>
        <xdr:cNvPr id="6" name="Text Box 5">
          <a:extLst>
            <a:ext uri="{FF2B5EF4-FFF2-40B4-BE49-F238E27FC236}">
              <a16:creationId xmlns:a16="http://schemas.microsoft.com/office/drawing/2014/main" id="{8A502247-E001-4554-A8C7-9DD59229DEA6}"/>
            </a:ext>
          </a:extLst>
        </xdr:cNvPr>
        <xdr:cNvSpPr txBox="1">
          <a:spLocks noChangeArrowheads="1"/>
        </xdr:cNvSpPr>
      </xdr:nvSpPr>
      <xdr:spPr bwMode="auto">
        <a:xfrm>
          <a:off x="8896350" y="51054000"/>
          <a:ext cx="76200" cy="202622"/>
        </a:xfrm>
        <a:prstGeom prst="rect">
          <a:avLst/>
        </a:prstGeom>
        <a:noFill/>
        <a:ln w="9525">
          <a:noFill/>
          <a:miter lim="800000"/>
          <a:headEnd/>
          <a:tailEnd/>
        </a:ln>
      </xdr:spPr>
    </xdr:sp>
    <xdr:clientData/>
  </xdr:oneCellAnchor>
  <xdr:oneCellAnchor>
    <xdr:from>
      <xdr:col>6</xdr:col>
      <xdr:colOff>390525</xdr:colOff>
      <xdr:row>121</xdr:row>
      <xdr:rowOff>0</xdr:rowOff>
    </xdr:from>
    <xdr:ext cx="76200" cy="202622"/>
    <xdr:sp macro="" textlink="">
      <xdr:nvSpPr>
        <xdr:cNvPr id="7" name="Text Box 6">
          <a:extLst>
            <a:ext uri="{FF2B5EF4-FFF2-40B4-BE49-F238E27FC236}">
              <a16:creationId xmlns:a16="http://schemas.microsoft.com/office/drawing/2014/main" id="{04F2832D-78AC-4420-B5DE-A0011CD663D5}"/>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121</xdr:row>
      <xdr:rowOff>0</xdr:rowOff>
    </xdr:from>
    <xdr:ext cx="76200" cy="202622"/>
    <xdr:sp macro="" textlink="">
      <xdr:nvSpPr>
        <xdr:cNvPr id="8" name="Text Box 7">
          <a:extLst>
            <a:ext uri="{FF2B5EF4-FFF2-40B4-BE49-F238E27FC236}">
              <a16:creationId xmlns:a16="http://schemas.microsoft.com/office/drawing/2014/main" id="{E67433A3-354A-4CEC-9BB5-9101BE347874}"/>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9" name="Text Box 8">
          <a:extLst>
            <a:ext uri="{FF2B5EF4-FFF2-40B4-BE49-F238E27FC236}">
              <a16:creationId xmlns:a16="http://schemas.microsoft.com/office/drawing/2014/main" id="{A21D1B9B-2311-435E-B385-A9018AA7D351}"/>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4</xdr:col>
      <xdr:colOff>0</xdr:colOff>
      <xdr:row>121</xdr:row>
      <xdr:rowOff>0</xdr:rowOff>
    </xdr:from>
    <xdr:ext cx="76200" cy="202622"/>
    <xdr:sp macro="" textlink="">
      <xdr:nvSpPr>
        <xdr:cNvPr id="10" name="Text Box 9">
          <a:extLst>
            <a:ext uri="{FF2B5EF4-FFF2-40B4-BE49-F238E27FC236}">
              <a16:creationId xmlns:a16="http://schemas.microsoft.com/office/drawing/2014/main" id="{31FDAD62-CAF9-4F27-B262-9A0A2D32322E}"/>
            </a:ext>
          </a:extLst>
        </xdr:cNvPr>
        <xdr:cNvSpPr txBox="1">
          <a:spLocks noChangeArrowheads="1"/>
        </xdr:cNvSpPr>
      </xdr:nvSpPr>
      <xdr:spPr bwMode="auto">
        <a:xfrm>
          <a:off x="6076950" y="51054000"/>
          <a:ext cx="76200" cy="202622"/>
        </a:xfrm>
        <a:prstGeom prst="rect">
          <a:avLst/>
        </a:prstGeom>
        <a:noFill/>
        <a:ln w="9525">
          <a:noFill/>
          <a:miter lim="800000"/>
          <a:headEnd/>
          <a:tailEnd/>
        </a:ln>
      </xdr:spPr>
    </xdr:sp>
    <xdr:clientData/>
  </xdr:oneCellAnchor>
  <xdr:oneCellAnchor>
    <xdr:from>
      <xdr:col>4</xdr:col>
      <xdr:colOff>0</xdr:colOff>
      <xdr:row>121</xdr:row>
      <xdr:rowOff>0</xdr:rowOff>
    </xdr:from>
    <xdr:ext cx="76200" cy="202622"/>
    <xdr:sp macro="" textlink="">
      <xdr:nvSpPr>
        <xdr:cNvPr id="11" name="Text Box 10">
          <a:extLst>
            <a:ext uri="{FF2B5EF4-FFF2-40B4-BE49-F238E27FC236}">
              <a16:creationId xmlns:a16="http://schemas.microsoft.com/office/drawing/2014/main" id="{95A3ECD8-8574-4EBF-88A4-88132E7D7A93}"/>
            </a:ext>
          </a:extLst>
        </xdr:cNvPr>
        <xdr:cNvSpPr txBox="1">
          <a:spLocks noChangeArrowheads="1"/>
        </xdr:cNvSpPr>
      </xdr:nvSpPr>
      <xdr:spPr bwMode="auto">
        <a:xfrm>
          <a:off x="6791325" y="51054000"/>
          <a:ext cx="76200" cy="202622"/>
        </a:xfrm>
        <a:prstGeom prst="rect">
          <a:avLst/>
        </a:prstGeom>
        <a:noFill/>
        <a:ln w="9525">
          <a:noFill/>
          <a:miter lim="800000"/>
          <a:headEnd/>
          <a:tailEnd/>
        </a:ln>
      </xdr:spPr>
    </xdr:sp>
    <xdr:clientData/>
  </xdr:oneCellAnchor>
  <xdr:oneCellAnchor>
    <xdr:from>
      <xdr:col>4</xdr:col>
      <xdr:colOff>390525</xdr:colOff>
      <xdr:row>121</xdr:row>
      <xdr:rowOff>0</xdr:rowOff>
    </xdr:from>
    <xdr:ext cx="76200" cy="202622"/>
    <xdr:sp macro="" textlink="">
      <xdr:nvSpPr>
        <xdr:cNvPr id="12" name="Text Box 11">
          <a:extLst>
            <a:ext uri="{FF2B5EF4-FFF2-40B4-BE49-F238E27FC236}">
              <a16:creationId xmlns:a16="http://schemas.microsoft.com/office/drawing/2014/main" id="{1167B1C0-D604-4C1B-AFCE-3F91B28A466C}"/>
            </a:ext>
          </a:extLst>
        </xdr:cNvPr>
        <xdr:cNvSpPr txBox="1">
          <a:spLocks noChangeArrowheads="1"/>
        </xdr:cNvSpPr>
      </xdr:nvSpPr>
      <xdr:spPr bwMode="auto">
        <a:xfrm>
          <a:off x="7505700" y="51054000"/>
          <a:ext cx="76200" cy="202622"/>
        </a:xfrm>
        <a:prstGeom prst="rect">
          <a:avLst/>
        </a:prstGeom>
        <a:noFill/>
        <a:ln w="9525">
          <a:noFill/>
          <a:miter lim="800000"/>
          <a:headEnd/>
          <a:tailEnd/>
        </a:ln>
      </xdr:spPr>
    </xdr:sp>
    <xdr:clientData/>
  </xdr:oneCellAnchor>
  <xdr:oneCellAnchor>
    <xdr:from>
      <xdr:col>5</xdr:col>
      <xdr:colOff>390525</xdr:colOff>
      <xdr:row>121</xdr:row>
      <xdr:rowOff>0</xdr:rowOff>
    </xdr:from>
    <xdr:ext cx="76200" cy="202622"/>
    <xdr:sp macro="" textlink="">
      <xdr:nvSpPr>
        <xdr:cNvPr id="13" name="Text Box 12">
          <a:extLst>
            <a:ext uri="{FF2B5EF4-FFF2-40B4-BE49-F238E27FC236}">
              <a16:creationId xmlns:a16="http://schemas.microsoft.com/office/drawing/2014/main" id="{75650EEF-61F9-4BD6-AFD0-FC3A19DDE2AF}"/>
            </a:ext>
          </a:extLst>
        </xdr:cNvPr>
        <xdr:cNvSpPr txBox="1">
          <a:spLocks noChangeArrowheads="1"/>
        </xdr:cNvSpPr>
      </xdr:nvSpPr>
      <xdr:spPr bwMode="auto">
        <a:xfrm>
          <a:off x="8220075" y="51054000"/>
          <a:ext cx="76200" cy="202622"/>
        </a:xfrm>
        <a:prstGeom prst="rect">
          <a:avLst/>
        </a:prstGeom>
        <a:noFill/>
        <a:ln w="9525">
          <a:noFill/>
          <a:miter lim="800000"/>
          <a:headEnd/>
          <a:tailEnd/>
        </a:ln>
      </xdr:spPr>
    </xdr:sp>
    <xdr:clientData/>
  </xdr:oneCellAnchor>
  <xdr:oneCellAnchor>
    <xdr:from>
      <xdr:col>6</xdr:col>
      <xdr:colOff>390525</xdr:colOff>
      <xdr:row>121</xdr:row>
      <xdr:rowOff>0</xdr:rowOff>
    </xdr:from>
    <xdr:ext cx="76200" cy="202622"/>
    <xdr:sp macro="" textlink="">
      <xdr:nvSpPr>
        <xdr:cNvPr id="14" name="Text Box 13">
          <a:extLst>
            <a:ext uri="{FF2B5EF4-FFF2-40B4-BE49-F238E27FC236}">
              <a16:creationId xmlns:a16="http://schemas.microsoft.com/office/drawing/2014/main" id="{459E7CA2-F899-4719-B72D-8409BF87DA84}"/>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121</xdr:row>
      <xdr:rowOff>0</xdr:rowOff>
    </xdr:from>
    <xdr:ext cx="76200" cy="202622"/>
    <xdr:sp macro="" textlink="">
      <xdr:nvSpPr>
        <xdr:cNvPr id="15" name="Text Box 14">
          <a:extLst>
            <a:ext uri="{FF2B5EF4-FFF2-40B4-BE49-F238E27FC236}">
              <a16:creationId xmlns:a16="http://schemas.microsoft.com/office/drawing/2014/main" id="{7385EE79-0194-47D2-AE5C-6472B2E1DEF9}"/>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16" name="Text Box 15">
          <a:extLst>
            <a:ext uri="{FF2B5EF4-FFF2-40B4-BE49-F238E27FC236}">
              <a16:creationId xmlns:a16="http://schemas.microsoft.com/office/drawing/2014/main" id="{36B34332-97C5-4522-896F-7DCA07738A97}"/>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6</xdr:col>
      <xdr:colOff>390525</xdr:colOff>
      <xdr:row>121</xdr:row>
      <xdr:rowOff>0</xdr:rowOff>
    </xdr:from>
    <xdr:ext cx="76200" cy="202622"/>
    <xdr:sp macro="" textlink="">
      <xdr:nvSpPr>
        <xdr:cNvPr id="17" name="Text Box 16">
          <a:extLst>
            <a:ext uri="{FF2B5EF4-FFF2-40B4-BE49-F238E27FC236}">
              <a16:creationId xmlns:a16="http://schemas.microsoft.com/office/drawing/2014/main" id="{9E0D36D1-5673-444C-8282-B3911AF3770E}"/>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121</xdr:row>
      <xdr:rowOff>0</xdr:rowOff>
    </xdr:from>
    <xdr:ext cx="76200" cy="202622"/>
    <xdr:sp macro="" textlink="">
      <xdr:nvSpPr>
        <xdr:cNvPr id="18" name="Text Box 17">
          <a:extLst>
            <a:ext uri="{FF2B5EF4-FFF2-40B4-BE49-F238E27FC236}">
              <a16:creationId xmlns:a16="http://schemas.microsoft.com/office/drawing/2014/main" id="{71C6A3ED-9E18-4B9D-BFA6-A23C2B890B21}"/>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19" name="Text Box 18">
          <a:extLst>
            <a:ext uri="{FF2B5EF4-FFF2-40B4-BE49-F238E27FC236}">
              <a16:creationId xmlns:a16="http://schemas.microsoft.com/office/drawing/2014/main" id="{2F91E7EF-13D2-4E41-89F3-DFD2A0DB8AF7}"/>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6</xdr:col>
      <xdr:colOff>390525</xdr:colOff>
      <xdr:row>121</xdr:row>
      <xdr:rowOff>0</xdr:rowOff>
    </xdr:from>
    <xdr:ext cx="76200" cy="202622"/>
    <xdr:sp macro="" textlink="">
      <xdr:nvSpPr>
        <xdr:cNvPr id="20" name="Text Box 19">
          <a:extLst>
            <a:ext uri="{FF2B5EF4-FFF2-40B4-BE49-F238E27FC236}">
              <a16:creationId xmlns:a16="http://schemas.microsoft.com/office/drawing/2014/main" id="{D6B84DF2-C793-4094-A8AC-41C451AA0AD1}"/>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121</xdr:row>
      <xdr:rowOff>0</xdr:rowOff>
    </xdr:from>
    <xdr:ext cx="76200" cy="202622"/>
    <xdr:sp macro="" textlink="">
      <xdr:nvSpPr>
        <xdr:cNvPr id="21" name="Text Box 20">
          <a:extLst>
            <a:ext uri="{FF2B5EF4-FFF2-40B4-BE49-F238E27FC236}">
              <a16:creationId xmlns:a16="http://schemas.microsoft.com/office/drawing/2014/main" id="{938A9097-B8AC-4868-BC7B-1A1E34892A1C}"/>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22" name="Text Box 21">
          <a:extLst>
            <a:ext uri="{FF2B5EF4-FFF2-40B4-BE49-F238E27FC236}">
              <a16:creationId xmlns:a16="http://schemas.microsoft.com/office/drawing/2014/main" id="{79B317ED-4ED4-4B2F-A94B-48136D8F11C7}"/>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6</xdr:col>
      <xdr:colOff>390525</xdr:colOff>
      <xdr:row>121</xdr:row>
      <xdr:rowOff>0</xdr:rowOff>
    </xdr:from>
    <xdr:ext cx="76200" cy="202622"/>
    <xdr:sp macro="" textlink="">
      <xdr:nvSpPr>
        <xdr:cNvPr id="23" name="Text Box 22">
          <a:extLst>
            <a:ext uri="{FF2B5EF4-FFF2-40B4-BE49-F238E27FC236}">
              <a16:creationId xmlns:a16="http://schemas.microsoft.com/office/drawing/2014/main" id="{69D3918E-E177-4FBA-B171-B3390F0C4C86}"/>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121</xdr:row>
      <xdr:rowOff>0</xdr:rowOff>
    </xdr:from>
    <xdr:ext cx="76200" cy="202622"/>
    <xdr:sp macro="" textlink="">
      <xdr:nvSpPr>
        <xdr:cNvPr id="24" name="Text Box 23">
          <a:extLst>
            <a:ext uri="{FF2B5EF4-FFF2-40B4-BE49-F238E27FC236}">
              <a16:creationId xmlns:a16="http://schemas.microsoft.com/office/drawing/2014/main" id="{979A91F5-76EE-4C6F-B98C-1AF0F2ABD305}"/>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25" name="Text Box 24">
          <a:extLst>
            <a:ext uri="{FF2B5EF4-FFF2-40B4-BE49-F238E27FC236}">
              <a16:creationId xmlns:a16="http://schemas.microsoft.com/office/drawing/2014/main" id="{D04E8922-07EE-4DD9-94C7-6B01DD974FAA}"/>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26" name="Text Box 7">
          <a:extLst>
            <a:ext uri="{FF2B5EF4-FFF2-40B4-BE49-F238E27FC236}">
              <a16:creationId xmlns:a16="http://schemas.microsoft.com/office/drawing/2014/main" id="{09A88E33-B851-4BD6-82BB-16FBD03F7949}"/>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27" name="Text Box 14">
          <a:extLst>
            <a:ext uri="{FF2B5EF4-FFF2-40B4-BE49-F238E27FC236}">
              <a16:creationId xmlns:a16="http://schemas.microsoft.com/office/drawing/2014/main" id="{73E64E91-E578-4E03-95C1-9AC780219713}"/>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28" name="Text Box 17">
          <a:extLst>
            <a:ext uri="{FF2B5EF4-FFF2-40B4-BE49-F238E27FC236}">
              <a16:creationId xmlns:a16="http://schemas.microsoft.com/office/drawing/2014/main" id="{C3875869-B032-4A80-84C9-67C3B292F61C}"/>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29" name="Text Box 20">
          <a:extLst>
            <a:ext uri="{FF2B5EF4-FFF2-40B4-BE49-F238E27FC236}">
              <a16:creationId xmlns:a16="http://schemas.microsoft.com/office/drawing/2014/main" id="{667A578B-11E7-4939-A211-B3D2E60D2ED2}"/>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30" name="Text Box 23">
          <a:extLst>
            <a:ext uri="{FF2B5EF4-FFF2-40B4-BE49-F238E27FC236}">
              <a16:creationId xmlns:a16="http://schemas.microsoft.com/office/drawing/2014/main" id="{9AA63BC6-7B52-4866-9A74-53FEC3470184}"/>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6</xdr:col>
      <xdr:colOff>390525</xdr:colOff>
      <xdr:row>121</xdr:row>
      <xdr:rowOff>0</xdr:rowOff>
    </xdr:from>
    <xdr:ext cx="76200" cy="202622"/>
    <xdr:sp macro="" textlink="">
      <xdr:nvSpPr>
        <xdr:cNvPr id="31" name="Text Box 12">
          <a:extLst>
            <a:ext uri="{FF2B5EF4-FFF2-40B4-BE49-F238E27FC236}">
              <a16:creationId xmlns:a16="http://schemas.microsoft.com/office/drawing/2014/main" id="{6A7A9279-19FB-45ED-9F2E-69BAF7FEB365}"/>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121</xdr:row>
      <xdr:rowOff>0</xdr:rowOff>
    </xdr:from>
    <xdr:ext cx="76200" cy="202622"/>
    <xdr:sp macro="" textlink="">
      <xdr:nvSpPr>
        <xdr:cNvPr id="32" name="Text Box 12">
          <a:extLst>
            <a:ext uri="{FF2B5EF4-FFF2-40B4-BE49-F238E27FC236}">
              <a16:creationId xmlns:a16="http://schemas.microsoft.com/office/drawing/2014/main" id="{4BBFEE71-17B1-4F85-B582-3A1669CC1627}"/>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33" name="Text Box 12">
          <a:extLst>
            <a:ext uri="{FF2B5EF4-FFF2-40B4-BE49-F238E27FC236}">
              <a16:creationId xmlns:a16="http://schemas.microsoft.com/office/drawing/2014/main" id="{5D0B400F-3160-4D69-BD90-E449B4B5814A}"/>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5</xdr:col>
      <xdr:colOff>390525</xdr:colOff>
      <xdr:row>121</xdr:row>
      <xdr:rowOff>0</xdr:rowOff>
    </xdr:from>
    <xdr:ext cx="76200" cy="202622"/>
    <xdr:sp macro="" textlink="">
      <xdr:nvSpPr>
        <xdr:cNvPr id="34" name="Text Box 12">
          <a:extLst>
            <a:ext uri="{FF2B5EF4-FFF2-40B4-BE49-F238E27FC236}">
              <a16:creationId xmlns:a16="http://schemas.microsoft.com/office/drawing/2014/main" id="{700A15E1-FC58-42F4-84F8-DEC302755D23}"/>
            </a:ext>
          </a:extLst>
        </xdr:cNvPr>
        <xdr:cNvSpPr txBox="1">
          <a:spLocks noChangeArrowheads="1"/>
        </xdr:cNvSpPr>
      </xdr:nvSpPr>
      <xdr:spPr bwMode="auto">
        <a:xfrm>
          <a:off x="8220075" y="51054000"/>
          <a:ext cx="76200" cy="202622"/>
        </a:xfrm>
        <a:prstGeom prst="rect">
          <a:avLst/>
        </a:prstGeom>
        <a:noFill/>
        <a:ln w="9525">
          <a:noFill/>
          <a:miter lim="800000"/>
          <a:headEnd/>
          <a:tailEnd/>
        </a:ln>
      </xdr:spPr>
    </xdr:sp>
    <xdr:clientData/>
  </xdr:oneCellAnchor>
  <xdr:oneCellAnchor>
    <xdr:from>
      <xdr:col>5</xdr:col>
      <xdr:colOff>390525</xdr:colOff>
      <xdr:row>121</xdr:row>
      <xdr:rowOff>0</xdr:rowOff>
    </xdr:from>
    <xdr:ext cx="76200" cy="202622"/>
    <xdr:sp macro="" textlink="">
      <xdr:nvSpPr>
        <xdr:cNvPr id="35" name="Text Box 12">
          <a:extLst>
            <a:ext uri="{FF2B5EF4-FFF2-40B4-BE49-F238E27FC236}">
              <a16:creationId xmlns:a16="http://schemas.microsoft.com/office/drawing/2014/main" id="{91E12748-7543-40A0-94F3-CC812B415707}"/>
            </a:ext>
          </a:extLst>
        </xdr:cNvPr>
        <xdr:cNvSpPr txBox="1">
          <a:spLocks noChangeArrowheads="1"/>
        </xdr:cNvSpPr>
      </xdr:nvSpPr>
      <xdr:spPr bwMode="auto">
        <a:xfrm>
          <a:off x="8220075" y="51054000"/>
          <a:ext cx="76200" cy="202622"/>
        </a:xfrm>
        <a:prstGeom prst="rect">
          <a:avLst/>
        </a:prstGeom>
        <a:noFill/>
        <a:ln w="9525">
          <a:noFill/>
          <a:miter lim="800000"/>
          <a:headEnd/>
          <a:tailEnd/>
        </a:ln>
      </xdr:spPr>
    </xdr:sp>
    <xdr:clientData/>
  </xdr:oneCellAnchor>
  <xdr:oneCellAnchor>
    <xdr:from>
      <xdr:col>6</xdr:col>
      <xdr:colOff>390525</xdr:colOff>
      <xdr:row>121</xdr:row>
      <xdr:rowOff>0</xdr:rowOff>
    </xdr:from>
    <xdr:ext cx="76200" cy="202622"/>
    <xdr:sp macro="" textlink="">
      <xdr:nvSpPr>
        <xdr:cNvPr id="36" name="Text Box 12">
          <a:extLst>
            <a:ext uri="{FF2B5EF4-FFF2-40B4-BE49-F238E27FC236}">
              <a16:creationId xmlns:a16="http://schemas.microsoft.com/office/drawing/2014/main" id="{6D2DA523-B1B1-4856-AC57-BD754C8A0AA9}"/>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121</xdr:row>
      <xdr:rowOff>0</xdr:rowOff>
    </xdr:from>
    <xdr:ext cx="76200" cy="202622"/>
    <xdr:sp macro="" textlink="">
      <xdr:nvSpPr>
        <xdr:cNvPr id="37" name="Text Box 12">
          <a:extLst>
            <a:ext uri="{FF2B5EF4-FFF2-40B4-BE49-F238E27FC236}">
              <a16:creationId xmlns:a16="http://schemas.microsoft.com/office/drawing/2014/main" id="{7199E82B-74DD-4296-86F6-FB49DD9A8F45}"/>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121</xdr:row>
      <xdr:rowOff>0</xdr:rowOff>
    </xdr:from>
    <xdr:ext cx="76200" cy="202622"/>
    <xdr:sp macro="" textlink="">
      <xdr:nvSpPr>
        <xdr:cNvPr id="38" name="Text Box 12">
          <a:extLst>
            <a:ext uri="{FF2B5EF4-FFF2-40B4-BE49-F238E27FC236}">
              <a16:creationId xmlns:a16="http://schemas.microsoft.com/office/drawing/2014/main" id="{4BCC2BE1-E759-40D5-B3E5-30B992760D18}"/>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121</xdr:row>
      <xdr:rowOff>0</xdr:rowOff>
    </xdr:from>
    <xdr:ext cx="76200" cy="202622"/>
    <xdr:sp macro="" textlink="">
      <xdr:nvSpPr>
        <xdr:cNvPr id="39" name="Text Box 12">
          <a:extLst>
            <a:ext uri="{FF2B5EF4-FFF2-40B4-BE49-F238E27FC236}">
              <a16:creationId xmlns:a16="http://schemas.microsoft.com/office/drawing/2014/main" id="{74CC7BEE-8556-47E3-976A-31532E8ED412}"/>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121</xdr:row>
      <xdr:rowOff>0</xdr:rowOff>
    </xdr:from>
    <xdr:ext cx="76200" cy="202622"/>
    <xdr:sp macro="" textlink="">
      <xdr:nvSpPr>
        <xdr:cNvPr id="40" name="Text Box 12">
          <a:extLst>
            <a:ext uri="{FF2B5EF4-FFF2-40B4-BE49-F238E27FC236}">
              <a16:creationId xmlns:a16="http://schemas.microsoft.com/office/drawing/2014/main" id="{2D4F5E46-7AD9-45F6-833D-82AB9C370CBC}"/>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121</xdr:row>
      <xdr:rowOff>0</xdr:rowOff>
    </xdr:from>
    <xdr:ext cx="76200" cy="202622"/>
    <xdr:sp macro="" textlink="">
      <xdr:nvSpPr>
        <xdr:cNvPr id="41" name="Text Box 12">
          <a:extLst>
            <a:ext uri="{FF2B5EF4-FFF2-40B4-BE49-F238E27FC236}">
              <a16:creationId xmlns:a16="http://schemas.microsoft.com/office/drawing/2014/main" id="{5B0CC86D-5DD2-4E06-9A64-DE5F111A52D4}"/>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121</xdr:row>
      <xdr:rowOff>0</xdr:rowOff>
    </xdr:from>
    <xdr:ext cx="76200" cy="202622"/>
    <xdr:sp macro="" textlink="">
      <xdr:nvSpPr>
        <xdr:cNvPr id="42" name="Text Box 12">
          <a:extLst>
            <a:ext uri="{FF2B5EF4-FFF2-40B4-BE49-F238E27FC236}">
              <a16:creationId xmlns:a16="http://schemas.microsoft.com/office/drawing/2014/main" id="{543E7688-3A81-49BB-8429-3AFD2BFA28FE}"/>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121</xdr:row>
      <xdr:rowOff>0</xdr:rowOff>
    </xdr:from>
    <xdr:ext cx="76200" cy="202622"/>
    <xdr:sp macro="" textlink="">
      <xdr:nvSpPr>
        <xdr:cNvPr id="43" name="Text Box 12">
          <a:extLst>
            <a:ext uri="{FF2B5EF4-FFF2-40B4-BE49-F238E27FC236}">
              <a16:creationId xmlns:a16="http://schemas.microsoft.com/office/drawing/2014/main" id="{85F7C34B-630B-428C-A56C-F550095A89BB}"/>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44" name="Text Box 12">
          <a:extLst>
            <a:ext uri="{FF2B5EF4-FFF2-40B4-BE49-F238E27FC236}">
              <a16:creationId xmlns:a16="http://schemas.microsoft.com/office/drawing/2014/main" id="{A9310D82-61B2-4AB4-ACA5-A1F0E2D7A28C}"/>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45" name="Text Box 12">
          <a:extLst>
            <a:ext uri="{FF2B5EF4-FFF2-40B4-BE49-F238E27FC236}">
              <a16:creationId xmlns:a16="http://schemas.microsoft.com/office/drawing/2014/main" id="{FE800097-2281-498A-AE96-1E95FE20F76F}"/>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46" name="Text Box 12">
          <a:extLst>
            <a:ext uri="{FF2B5EF4-FFF2-40B4-BE49-F238E27FC236}">
              <a16:creationId xmlns:a16="http://schemas.microsoft.com/office/drawing/2014/main" id="{F7381BA0-4A87-4040-904E-FFE95C908B9E}"/>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47" name="Text Box 12">
          <a:extLst>
            <a:ext uri="{FF2B5EF4-FFF2-40B4-BE49-F238E27FC236}">
              <a16:creationId xmlns:a16="http://schemas.microsoft.com/office/drawing/2014/main" id="{EDD2E831-17EE-4751-AF71-02FAEC53469F}"/>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3</xdr:col>
      <xdr:colOff>390525</xdr:colOff>
      <xdr:row>128</xdr:row>
      <xdr:rowOff>0</xdr:rowOff>
    </xdr:from>
    <xdr:ext cx="76200" cy="202622"/>
    <xdr:sp macro="" textlink="">
      <xdr:nvSpPr>
        <xdr:cNvPr id="48" name="Text Box 12">
          <a:extLst>
            <a:ext uri="{FF2B5EF4-FFF2-40B4-BE49-F238E27FC236}">
              <a16:creationId xmlns:a16="http://schemas.microsoft.com/office/drawing/2014/main" id="{F9A2F02E-84B4-4EDC-89B8-1F5B6AABC3E5}"/>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128</xdr:row>
      <xdr:rowOff>0</xdr:rowOff>
    </xdr:from>
    <xdr:ext cx="76200" cy="202622"/>
    <xdr:sp macro="" textlink="">
      <xdr:nvSpPr>
        <xdr:cNvPr id="49" name="Text Box 12">
          <a:extLst>
            <a:ext uri="{FF2B5EF4-FFF2-40B4-BE49-F238E27FC236}">
              <a16:creationId xmlns:a16="http://schemas.microsoft.com/office/drawing/2014/main" id="{67ACFAD2-8E92-49B0-959E-0533BC4F3F45}"/>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128</xdr:row>
      <xdr:rowOff>0</xdr:rowOff>
    </xdr:from>
    <xdr:ext cx="76200" cy="202622"/>
    <xdr:sp macro="" textlink="">
      <xdr:nvSpPr>
        <xdr:cNvPr id="50" name="Text Box 12">
          <a:extLst>
            <a:ext uri="{FF2B5EF4-FFF2-40B4-BE49-F238E27FC236}">
              <a16:creationId xmlns:a16="http://schemas.microsoft.com/office/drawing/2014/main" id="{B0A66381-A418-48D9-8E89-91BEA8C3D42E}"/>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128</xdr:row>
      <xdr:rowOff>0</xdr:rowOff>
    </xdr:from>
    <xdr:ext cx="76200" cy="202622"/>
    <xdr:sp macro="" textlink="">
      <xdr:nvSpPr>
        <xdr:cNvPr id="51" name="Text Box 12">
          <a:extLst>
            <a:ext uri="{FF2B5EF4-FFF2-40B4-BE49-F238E27FC236}">
              <a16:creationId xmlns:a16="http://schemas.microsoft.com/office/drawing/2014/main" id="{D02671A8-A57F-4044-A568-283977784E3B}"/>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5</xdr:col>
      <xdr:colOff>390525</xdr:colOff>
      <xdr:row>121</xdr:row>
      <xdr:rowOff>0</xdr:rowOff>
    </xdr:from>
    <xdr:ext cx="76200" cy="202622"/>
    <xdr:sp macro="" textlink="">
      <xdr:nvSpPr>
        <xdr:cNvPr id="52" name="Text Box 12">
          <a:extLst>
            <a:ext uri="{FF2B5EF4-FFF2-40B4-BE49-F238E27FC236}">
              <a16:creationId xmlns:a16="http://schemas.microsoft.com/office/drawing/2014/main" id="{FB15C4D2-0490-4300-9862-CEADF360F0BE}"/>
            </a:ext>
          </a:extLst>
        </xdr:cNvPr>
        <xdr:cNvSpPr txBox="1">
          <a:spLocks noChangeArrowheads="1"/>
        </xdr:cNvSpPr>
      </xdr:nvSpPr>
      <xdr:spPr bwMode="auto">
        <a:xfrm>
          <a:off x="8220075" y="51054000"/>
          <a:ext cx="76200" cy="202622"/>
        </a:xfrm>
        <a:prstGeom prst="rect">
          <a:avLst/>
        </a:prstGeom>
        <a:noFill/>
        <a:ln w="9525">
          <a:noFill/>
          <a:miter lim="800000"/>
          <a:headEnd/>
          <a:tailEnd/>
        </a:ln>
      </xdr:spPr>
    </xdr:sp>
    <xdr:clientData/>
  </xdr:oneCellAnchor>
  <xdr:oneCellAnchor>
    <xdr:from>
      <xdr:col>6</xdr:col>
      <xdr:colOff>390525</xdr:colOff>
      <xdr:row>121</xdr:row>
      <xdr:rowOff>0</xdr:rowOff>
    </xdr:from>
    <xdr:ext cx="76200" cy="202622"/>
    <xdr:sp macro="" textlink="">
      <xdr:nvSpPr>
        <xdr:cNvPr id="53" name="Text Box 12">
          <a:extLst>
            <a:ext uri="{FF2B5EF4-FFF2-40B4-BE49-F238E27FC236}">
              <a16:creationId xmlns:a16="http://schemas.microsoft.com/office/drawing/2014/main" id="{544EAF59-F53B-45DA-B7E2-05E21005ED82}"/>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121</xdr:row>
      <xdr:rowOff>0</xdr:rowOff>
    </xdr:from>
    <xdr:ext cx="76200" cy="202622"/>
    <xdr:sp macro="" textlink="">
      <xdr:nvSpPr>
        <xdr:cNvPr id="54" name="Text Box 12">
          <a:extLst>
            <a:ext uri="{FF2B5EF4-FFF2-40B4-BE49-F238E27FC236}">
              <a16:creationId xmlns:a16="http://schemas.microsoft.com/office/drawing/2014/main" id="{0A172005-BB30-496A-B646-DCA8BE941EB7}"/>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121</xdr:row>
      <xdr:rowOff>0</xdr:rowOff>
    </xdr:from>
    <xdr:ext cx="76200" cy="202622"/>
    <xdr:sp macro="" textlink="">
      <xdr:nvSpPr>
        <xdr:cNvPr id="55" name="Text Box 12">
          <a:extLst>
            <a:ext uri="{FF2B5EF4-FFF2-40B4-BE49-F238E27FC236}">
              <a16:creationId xmlns:a16="http://schemas.microsoft.com/office/drawing/2014/main" id="{2D43A7E5-7B73-4803-B1AB-B5E6474A907B}"/>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121</xdr:row>
      <xdr:rowOff>0</xdr:rowOff>
    </xdr:from>
    <xdr:ext cx="76200" cy="202622"/>
    <xdr:sp macro="" textlink="">
      <xdr:nvSpPr>
        <xdr:cNvPr id="56" name="Text Box 12">
          <a:extLst>
            <a:ext uri="{FF2B5EF4-FFF2-40B4-BE49-F238E27FC236}">
              <a16:creationId xmlns:a16="http://schemas.microsoft.com/office/drawing/2014/main" id="{7C8454DE-2E4B-47BD-945D-52552167E745}"/>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121</xdr:row>
      <xdr:rowOff>0</xdr:rowOff>
    </xdr:from>
    <xdr:ext cx="76200" cy="202622"/>
    <xdr:sp macro="" textlink="">
      <xdr:nvSpPr>
        <xdr:cNvPr id="57" name="Text Box 12">
          <a:extLst>
            <a:ext uri="{FF2B5EF4-FFF2-40B4-BE49-F238E27FC236}">
              <a16:creationId xmlns:a16="http://schemas.microsoft.com/office/drawing/2014/main" id="{B1067921-D21C-4CF8-A9B2-19789658911C}"/>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121</xdr:row>
      <xdr:rowOff>0</xdr:rowOff>
    </xdr:from>
    <xdr:ext cx="76200" cy="202622"/>
    <xdr:sp macro="" textlink="">
      <xdr:nvSpPr>
        <xdr:cNvPr id="58" name="Text Box 12">
          <a:extLst>
            <a:ext uri="{FF2B5EF4-FFF2-40B4-BE49-F238E27FC236}">
              <a16:creationId xmlns:a16="http://schemas.microsoft.com/office/drawing/2014/main" id="{B106AF7D-8F13-4449-B9EA-0F846DD331EB}"/>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6</xdr:col>
      <xdr:colOff>390525</xdr:colOff>
      <xdr:row>121</xdr:row>
      <xdr:rowOff>0</xdr:rowOff>
    </xdr:from>
    <xdr:ext cx="76200" cy="202622"/>
    <xdr:sp macro="" textlink="">
      <xdr:nvSpPr>
        <xdr:cNvPr id="59" name="Text Box 12">
          <a:extLst>
            <a:ext uri="{FF2B5EF4-FFF2-40B4-BE49-F238E27FC236}">
              <a16:creationId xmlns:a16="http://schemas.microsoft.com/office/drawing/2014/main" id="{6FDEE533-D9EA-4E6C-8ACF-4CEE7BCE7999}"/>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121</xdr:row>
      <xdr:rowOff>0</xdr:rowOff>
    </xdr:from>
    <xdr:ext cx="76200" cy="202622"/>
    <xdr:sp macro="" textlink="">
      <xdr:nvSpPr>
        <xdr:cNvPr id="60" name="Text Box 12">
          <a:extLst>
            <a:ext uri="{FF2B5EF4-FFF2-40B4-BE49-F238E27FC236}">
              <a16:creationId xmlns:a16="http://schemas.microsoft.com/office/drawing/2014/main" id="{952A5897-AA06-422D-A709-F91464ACDE4C}"/>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121</xdr:row>
      <xdr:rowOff>0</xdr:rowOff>
    </xdr:from>
    <xdr:ext cx="76200" cy="202622"/>
    <xdr:sp macro="" textlink="">
      <xdr:nvSpPr>
        <xdr:cNvPr id="61" name="Text Box 12">
          <a:extLst>
            <a:ext uri="{FF2B5EF4-FFF2-40B4-BE49-F238E27FC236}">
              <a16:creationId xmlns:a16="http://schemas.microsoft.com/office/drawing/2014/main" id="{4E23AEAD-C08D-4A4E-9AA3-D15071FB1A3E}"/>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121</xdr:row>
      <xdr:rowOff>0</xdr:rowOff>
    </xdr:from>
    <xdr:ext cx="76200" cy="202622"/>
    <xdr:sp macro="" textlink="">
      <xdr:nvSpPr>
        <xdr:cNvPr id="62" name="Text Box 12">
          <a:extLst>
            <a:ext uri="{FF2B5EF4-FFF2-40B4-BE49-F238E27FC236}">
              <a16:creationId xmlns:a16="http://schemas.microsoft.com/office/drawing/2014/main" id="{649C5F1D-A189-425A-A455-8062E14BCD63}"/>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121</xdr:row>
      <xdr:rowOff>0</xdr:rowOff>
    </xdr:from>
    <xdr:ext cx="76200" cy="202622"/>
    <xdr:sp macro="" textlink="">
      <xdr:nvSpPr>
        <xdr:cNvPr id="63" name="Text Box 12">
          <a:extLst>
            <a:ext uri="{FF2B5EF4-FFF2-40B4-BE49-F238E27FC236}">
              <a16:creationId xmlns:a16="http://schemas.microsoft.com/office/drawing/2014/main" id="{47CD09C5-F252-4DDD-8065-B1B3E6D38AD1}"/>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121</xdr:row>
      <xdr:rowOff>0</xdr:rowOff>
    </xdr:from>
    <xdr:ext cx="76200" cy="202622"/>
    <xdr:sp macro="" textlink="">
      <xdr:nvSpPr>
        <xdr:cNvPr id="64" name="Text Box 12">
          <a:extLst>
            <a:ext uri="{FF2B5EF4-FFF2-40B4-BE49-F238E27FC236}">
              <a16:creationId xmlns:a16="http://schemas.microsoft.com/office/drawing/2014/main" id="{5274342E-D140-4540-8318-2943BA7BC247}"/>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121</xdr:row>
      <xdr:rowOff>0</xdr:rowOff>
    </xdr:from>
    <xdr:ext cx="76200" cy="202622"/>
    <xdr:sp macro="" textlink="">
      <xdr:nvSpPr>
        <xdr:cNvPr id="65" name="Text Box 12">
          <a:extLst>
            <a:ext uri="{FF2B5EF4-FFF2-40B4-BE49-F238E27FC236}">
              <a16:creationId xmlns:a16="http://schemas.microsoft.com/office/drawing/2014/main" id="{BC0DDD05-42D6-4DA1-9385-DCDC880E1AD2}"/>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7</xdr:col>
      <xdr:colOff>390525</xdr:colOff>
      <xdr:row>121</xdr:row>
      <xdr:rowOff>0</xdr:rowOff>
    </xdr:from>
    <xdr:ext cx="76200" cy="202622"/>
    <xdr:sp macro="" textlink="">
      <xdr:nvSpPr>
        <xdr:cNvPr id="66" name="Text Box 12">
          <a:extLst>
            <a:ext uri="{FF2B5EF4-FFF2-40B4-BE49-F238E27FC236}">
              <a16:creationId xmlns:a16="http://schemas.microsoft.com/office/drawing/2014/main" id="{4096BD94-479C-46DC-98EE-B31DB291293C}"/>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67" name="Text Box 12">
          <a:extLst>
            <a:ext uri="{FF2B5EF4-FFF2-40B4-BE49-F238E27FC236}">
              <a16:creationId xmlns:a16="http://schemas.microsoft.com/office/drawing/2014/main" id="{94DAD5BB-C4B4-4D1A-A0DB-1FB180B4827D}"/>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68" name="Text Box 12">
          <a:extLst>
            <a:ext uri="{FF2B5EF4-FFF2-40B4-BE49-F238E27FC236}">
              <a16:creationId xmlns:a16="http://schemas.microsoft.com/office/drawing/2014/main" id="{559A7DC3-F295-4D3A-A205-6A2677FF4B81}"/>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69" name="Text Box 12">
          <a:extLst>
            <a:ext uri="{FF2B5EF4-FFF2-40B4-BE49-F238E27FC236}">
              <a16:creationId xmlns:a16="http://schemas.microsoft.com/office/drawing/2014/main" id="{F942B2B9-ADD5-425E-9EB4-9B3E5B79ABB7}"/>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70" name="Text Box 12">
          <a:extLst>
            <a:ext uri="{FF2B5EF4-FFF2-40B4-BE49-F238E27FC236}">
              <a16:creationId xmlns:a16="http://schemas.microsoft.com/office/drawing/2014/main" id="{782387E6-9EB8-4208-9653-84A75A474F76}"/>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71" name="Text Box 12">
          <a:extLst>
            <a:ext uri="{FF2B5EF4-FFF2-40B4-BE49-F238E27FC236}">
              <a16:creationId xmlns:a16="http://schemas.microsoft.com/office/drawing/2014/main" id="{C7180486-D92B-484E-932D-7648BF96E804}"/>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72" name="Text Box 12">
          <a:extLst>
            <a:ext uri="{FF2B5EF4-FFF2-40B4-BE49-F238E27FC236}">
              <a16:creationId xmlns:a16="http://schemas.microsoft.com/office/drawing/2014/main" id="{6D6D84B5-3151-4795-8B5F-296E46C44785}"/>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73" name="Text Box 12">
          <a:extLst>
            <a:ext uri="{FF2B5EF4-FFF2-40B4-BE49-F238E27FC236}">
              <a16:creationId xmlns:a16="http://schemas.microsoft.com/office/drawing/2014/main" id="{3CF6DB12-DDB6-4F90-8888-6D9F978FE5CE}"/>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3</xdr:col>
      <xdr:colOff>390525</xdr:colOff>
      <xdr:row>128</xdr:row>
      <xdr:rowOff>0</xdr:rowOff>
    </xdr:from>
    <xdr:ext cx="76200" cy="202622"/>
    <xdr:sp macro="" textlink="">
      <xdr:nvSpPr>
        <xdr:cNvPr id="74" name="Text Box 12">
          <a:extLst>
            <a:ext uri="{FF2B5EF4-FFF2-40B4-BE49-F238E27FC236}">
              <a16:creationId xmlns:a16="http://schemas.microsoft.com/office/drawing/2014/main" id="{2402DA0A-5384-40A5-B9D9-DB7EA6A31F6B}"/>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128</xdr:row>
      <xdr:rowOff>0</xdr:rowOff>
    </xdr:from>
    <xdr:ext cx="76200" cy="202622"/>
    <xdr:sp macro="" textlink="">
      <xdr:nvSpPr>
        <xdr:cNvPr id="75" name="Text Box 12">
          <a:extLst>
            <a:ext uri="{FF2B5EF4-FFF2-40B4-BE49-F238E27FC236}">
              <a16:creationId xmlns:a16="http://schemas.microsoft.com/office/drawing/2014/main" id="{E4CB191A-3F9C-41DC-8816-A6230D89950C}"/>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128</xdr:row>
      <xdr:rowOff>0</xdr:rowOff>
    </xdr:from>
    <xdr:ext cx="76200" cy="202622"/>
    <xdr:sp macro="" textlink="">
      <xdr:nvSpPr>
        <xdr:cNvPr id="76" name="Text Box 12">
          <a:extLst>
            <a:ext uri="{FF2B5EF4-FFF2-40B4-BE49-F238E27FC236}">
              <a16:creationId xmlns:a16="http://schemas.microsoft.com/office/drawing/2014/main" id="{E117FCC3-F600-47A9-B335-056D659CA431}"/>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128</xdr:row>
      <xdr:rowOff>0</xdr:rowOff>
    </xdr:from>
    <xdr:ext cx="76200" cy="202622"/>
    <xdr:sp macro="" textlink="">
      <xdr:nvSpPr>
        <xdr:cNvPr id="77" name="Text Box 12">
          <a:extLst>
            <a:ext uri="{FF2B5EF4-FFF2-40B4-BE49-F238E27FC236}">
              <a16:creationId xmlns:a16="http://schemas.microsoft.com/office/drawing/2014/main" id="{0BA89240-14AF-499C-A90E-B2B1EFB7AF4B}"/>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128</xdr:row>
      <xdr:rowOff>0</xdr:rowOff>
    </xdr:from>
    <xdr:ext cx="76200" cy="202622"/>
    <xdr:sp macro="" textlink="">
      <xdr:nvSpPr>
        <xdr:cNvPr id="78" name="Text Box 12">
          <a:extLst>
            <a:ext uri="{FF2B5EF4-FFF2-40B4-BE49-F238E27FC236}">
              <a16:creationId xmlns:a16="http://schemas.microsoft.com/office/drawing/2014/main" id="{48B63496-401B-4E3A-9896-D56924A9F7E4}"/>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128</xdr:row>
      <xdr:rowOff>0</xdr:rowOff>
    </xdr:from>
    <xdr:ext cx="76200" cy="202622"/>
    <xdr:sp macro="" textlink="">
      <xdr:nvSpPr>
        <xdr:cNvPr id="79" name="Text Box 12">
          <a:extLst>
            <a:ext uri="{FF2B5EF4-FFF2-40B4-BE49-F238E27FC236}">
              <a16:creationId xmlns:a16="http://schemas.microsoft.com/office/drawing/2014/main" id="{8D2E0B57-920B-4F2E-8901-CF6171380082}"/>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sp>
    <xdr:clientData/>
  </xdr:oneCellAnchor>
  <xdr:oneCellAnchor>
    <xdr:from>
      <xdr:col>3</xdr:col>
      <xdr:colOff>390525</xdr:colOff>
      <xdr:row>128</xdr:row>
      <xdr:rowOff>0</xdr:rowOff>
    </xdr:from>
    <xdr:ext cx="76200" cy="202622"/>
    <xdr:sp macro="" textlink="">
      <xdr:nvSpPr>
        <xdr:cNvPr id="80" name="Text Box 12">
          <a:extLst>
            <a:ext uri="{FF2B5EF4-FFF2-40B4-BE49-F238E27FC236}">
              <a16:creationId xmlns:a16="http://schemas.microsoft.com/office/drawing/2014/main" id="{508C4614-4F1E-4301-B96E-27D5278A70CD}"/>
            </a:ext>
          </a:extLst>
        </xdr:cNvPr>
        <xdr:cNvSpPr txBox="1">
          <a:spLocks noChangeArrowheads="1"/>
        </xdr:cNvSpPr>
      </xdr:nvSpPr>
      <xdr:spPr bwMode="auto">
        <a:xfrm>
          <a:off x="4648200" y="51054000"/>
          <a:ext cx="76200" cy="202622"/>
        </a:xfrm>
        <a:prstGeom prst="rect">
          <a:avLst/>
        </a:prstGeom>
        <a:noFill/>
        <a:ln w="9525">
          <a:noFill/>
          <a:miter lim="800000"/>
          <a:headEnd/>
          <a:tailEnd/>
        </a:ln>
      </xdr:spPr>
      <xdr:txBody>
        <a:bodyPr/>
        <a:lstStyle/>
        <a:p>
          <a:endParaRPr lang="en-US"/>
        </a:p>
      </xdr:txBody>
    </xdr:sp>
    <xdr:clientData/>
  </xdr:oneCellAnchor>
  <xdr:oneCellAnchor>
    <xdr:from>
      <xdr:col>4</xdr:col>
      <xdr:colOff>390525</xdr:colOff>
      <xdr:row>121</xdr:row>
      <xdr:rowOff>0</xdr:rowOff>
    </xdr:from>
    <xdr:ext cx="76200" cy="202622"/>
    <xdr:sp macro="" textlink="">
      <xdr:nvSpPr>
        <xdr:cNvPr id="83" name="Text Box 1">
          <a:extLst>
            <a:ext uri="{FF2B5EF4-FFF2-40B4-BE49-F238E27FC236}">
              <a16:creationId xmlns:a16="http://schemas.microsoft.com/office/drawing/2014/main" id="{CE0ACB46-4683-40D4-AC32-931DE790FCD6}"/>
            </a:ext>
          </a:extLst>
        </xdr:cNvPr>
        <xdr:cNvSpPr txBox="1">
          <a:spLocks noChangeArrowheads="1"/>
        </xdr:cNvSpPr>
      </xdr:nvSpPr>
      <xdr:spPr bwMode="auto">
        <a:xfrm>
          <a:off x="7505700" y="51054000"/>
          <a:ext cx="76200" cy="202622"/>
        </a:xfrm>
        <a:prstGeom prst="rect">
          <a:avLst/>
        </a:prstGeom>
        <a:noFill/>
        <a:ln w="9525">
          <a:noFill/>
          <a:miter lim="800000"/>
          <a:headEnd/>
          <a:tailEnd/>
        </a:ln>
      </xdr:spPr>
    </xdr:sp>
    <xdr:clientData/>
  </xdr:oneCellAnchor>
  <xdr:oneCellAnchor>
    <xdr:from>
      <xdr:col>5</xdr:col>
      <xdr:colOff>390525</xdr:colOff>
      <xdr:row>121</xdr:row>
      <xdr:rowOff>0</xdr:rowOff>
    </xdr:from>
    <xdr:ext cx="76200" cy="202622"/>
    <xdr:sp macro="" textlink="">
      <xdr:nvSpPr>
        <xdr:cNvPr id="84" name="Text Box 1">
          <a:extLst>
            <a:ext uri="{FF2B5EF4-FFF2-40B4-BE49-F238E27FC236}">
              <a16:creationId xmlns:a16="http://schemas.microsoft.com/office/drawing/2014/main" id="{607AE811-7222-41F2-80C0-A6ADCD3348A8}"/>
            </a:ext>
          </a:extLst>
        </xdr:cNvPr>
        <xdr:cNvSpPr txBox="1">
          <a:spLocks noChangeArrowheads="1"/>
        </xdr:cNvSpPr>
      </xdr:nvSpPr>
      <xdr:spPr bwMode="auto">
        <a:xfrm>
          <a:off x="8220075" y="51054000"/>
          <a:ext cx="76200" cy="202622"/>
        </a:xfrm>
        <a:prstGeom prst="rect">
          <a:avLst/>
        </a:prstGeom>
        <a:noFill/>
        <a:ln w="9525">
          <a:noFill/>
          <a:miter lim="800000"/>
          <a:headEnd/>
          <a:tailEnd/>
        </a:ln>
      </xdr:spPr>
    </xdr:sp>
    <xdr:clientData/>
  </xdr:oneCellAnchor>
  <xdr:oneCellAnchor>
    <xdr:from>
      <xdr:col>6</xdr:col>
      <xdr:colOff>390525</xdr:colOff>
      <xdr:row>121</xdr:row>
      <xdr:rowOff>0</xdr:rowOff>
    </xdr:from>
    <xdr:ext cx="76200" cy="202622"/>
    <xdr:sp macro="" textlink="">
      <xdr:nvSpPr>
        <xdr:cNvPr id="85" name="Text Box 1">
          <a:extLst>
            <a:ext uri="{FF2B5EF4-FFF2-40B4-BE49-F238E27FC236}">
              <a16:creationId xmlns:a16="http://schemas.microsoft.com/office/drawing/2014/main" id="{5E97DE2E-EF06-45DD-8905-AE471501890E}"/>
            </a:ext>
          </a:extLst>
        </xdr:cNvPr>
        <xdr:cNvSpPr txBox="1">
          <a:spLocks noChangeArrowheads="1"/>
        </xdr:cNvSpPr>
      </xdr:nvSpPr>
      <xdr:spPr bwMode="auto">
        <a:xfrm>
          <a:off x="8934450" y="51054000"/>
          <a:ext cx="76200" cy="202622"/>
        </a:xfrm>
        <a:prstGeom prst="rect">
          <a:avLst/>
        </a:prstGeom>
        <a:noFill/>
        <a:ln w="9525">
          <a:noFill/>
          <a:miter lim="800000"/>
          <a:headEnd/>
          <a:tailEnd/>
        </a:ln>
      </xdr:spPr>
    </xdr:sp>
    <xdr:clientData/>
  </xdr:oneCellAnchor>
  <xdr:oneCellAnchor>
    <xdr:from>
      <xdr:col>7</xdr:col>
      <xdr:colOff>390525</xdr:colOff>
      <xdr:row>121</xdr:row>
      <xdr:rowOff>0</xdr:rowOff>
    </xdr:from>
    <xdr:ext cx="76200" cy="202622"/>
    <xdr:sp macro="" textlink="">
      <xdr:nvSpPr>
        <xdr:cNvPr id="86" name="Text Box 1">
          <a:extLst>
            <a:ext uri="{FF2B5EF4-FFF2-40B4-BE49-F238E27FC236}">
              <a16:creationId xmlns:a16="http://schemas.microsoft.com/office/drawing/2014/main" id="{F9DF2A51-42C6-4865-8145-FCEFA22B2EB0}"/>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87" name="Text Box 1">
          <a:extLst>
            <a:ext uri="{FF2B5EF4-FFF2-40B4-BE49-F238E27FC236}">
              <a16:creationId xmlns:a16="http://schemas.microsoft.com/office/drawing/2014/main" id="{A789B4F6-A9C8-49BA-8F12-ED49FA9C2691}"/>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7</xdr:col>
      <xdr:colOff>390525</xdr:colOff>
      <xdr:row>121</xdr:row>
      <xdr:rowOff>0</xdr:rowOff>
    </xdr:from>
    <xdr:ext cx="76200" cy="202622"/>
    <xdr:sp macro="" textlink="">
      <xdr:nvSpPr>
        <xdr:cNvPr id="92" name="Text Box 12">
          <a:extLst>
            <a:ext uri="{FF2B5EF4-FFF2-40B4-BE49-F238E27FC236}">
              <a16:creationId xmlns:a16="http://schemas.microsoft.com/office/drawing/2014/main" id="{76CAE7F8-AF4A-4896-9C09-59D9D99C5995}"/>
            </a:ext>
          </a:extLst>
        </xdr:cNvPr>
        <xdr:cNvSpPr txBox="1">
          <a:spLocks noChangeArrowheads="1"/>
        </xdr:cNvSpPr>
      </xdr:nvSpPr>
      <xdr:spPr bwMode="auto">
        <a:xfrm>
          <a:off x="9648825" y="51054000"/>
          <a:ext cx="76200" cy="202622"/>
        </a:xfrm>
        <a:prstGeom prst="rect">
          <a:avLst/>
        </a:prstGeom>
        <a:noFill/>
        <a:ln w="9525">
          <a:noFill/>
          <a:miter lim="800000"/>
          <a:headEnd/>
          <a:tailEnd/>
        </a:ln>
      </xdr:spPr>
    </xdr:sp>
    <xdr:clientData/>
  </xdr:oneCellAnchor>
  <xdr:oneCellAnchor>
    <xdr:from>
      <xdr:col>8</xdr:col>
      <xdr:colOff>390525</xdr:colOff>
      <xdr:row>121</xdr:row>
      <xdr:rowOff>0</xdr:rowOff>
    </xdr:from>
    <xdr:ext cx="76200" cy="202622"/>
    <xdr:sp macro="" textlink="">
      <xdr:nvSpPr>
        <xdr:cNvPr id="93" name="Text Box 12">
          <a:extLst>
            <a:ext uri="{FF2B5EF4-FFF2-40B4-BE49-F238E27FC236}">
              <a16:creationId xmlns:a16="http://schemas.microsoft.com/office/drawing/2014/main" id="{67C98333-CF5F-4F14-BA5C-E16DCB1BCDE9}"/>
            </a:ext>
          </a:extLst>
        </xdr:cNvPr>
        <xdr:cNvSpPr txBox="1">
          <a:spLocks noChangeArrowheads="1"/>
        </xdr:cNvSpPr>
      </xdr:nvSpPr>
      <xdr:spPr bwMode="auto">
        <a:xfrm>
          <a:off x="10363200" y="51054000"/>
          <a:ext cx="76200" cy="202622"/>
        </a:xfrm>
        <a:prstGeom prst="rect">
          <a:avLst/>
        </a:prstGeom>
        <a:noFill/>
        <a:ln w="9525">
          <a:noFill/>
          <a:miter lim="800000"/>
          <a:headEnd/>
          <a:tailEnd/>
        </a:ln>
      </xdr:spPr>
    </xdr:sp>
    <xdr:clientData/>
  </xdr:oneCellAnchor>
  <xdr:oneCellAnchor>
    <xdr:from>
      <xdr:col>4</xdr:col>
      <xdr:colOff>390525</xdr:colOff>
      <xdr:row>118</xdr:row>
      <xdr:rowOff>0</xdr:rowOff>
    </xdr:from>
    <xdr:ext cx="76200" cy="200025"/>
    <xdr:sp macro="" textlink="">
      <xdr:nvSpPr>
        <xdr:cNvPr id="94" name="Text Box 4">
          <a:extLst>
            <a:ext uri="{FF2B5EF4-FFF2-40B4-BE49-F238E27FC236}">
              <a16:creationId xmlns:a16="http://schemas.microsoft.com/office/drawing/2014/main" id="{3892A8B5-B676-4F80-97BA-7711B4CE9D4D}"/>
            </a:ext>
          </a:extLst>
        </xdr:cNvPr>
        <xdr:cNvSpPr txBox="1">
          <a:spLocks noChangeArrowheads="1"/>
        </xdr:cNvSpPr>
      </xdr:nvSpPr>
      <xdr:spPr bwMode="auto">
        <a:xfrm>
          <a:off x="7505700" y="50482500"/>
          <a:ext cx="76200" cy="200025"/>
        </a:xfrm>
        <a:prstGeom prst="rect">
          <a:avLst/>
        </a:prstGeom>
        <a:noFill/>
        <a:ln w="9525">
          <a:noFill/>
          <a:miter lim="800000"/>
          <a:headEnd/>
          <a:tailEnd/>
        </a:ln>
      </xdr:spPr>
    </xdr:sp>
    <xdr:clientData/>
  </xdr:oneCellAnchor>
  <xdr:oneCellAnchor>
    <xdr:from>
      <xdr:col>4</xdr:col>
      <xdr:colOff>390525</xdr:colOff>
      <xdr:row>118</xdr:row>
      <xdr:rowOff>0</xdr:rowOff>
    </xdr:from>
    <xdr:ext cx="76200" cy="200025"/>
    <xdr:sp macro="" textlink="">
      <xdr:nvSpPr>
        <xdr:cNvPr id="95" name="Text Box 11">
          <a:extLst>
            <a:ext uri="{FF2B5EF4-FFF2-40B4-BE49-F238E27FC236}">
              <a16:creationId xmlns:a16="http://schemas.microsoft.com/office/drawing/2014/main" id="{946B9235-ECDC-4F8D-9FC2-D9F696D25947}"/>
            </a:ext>
          </a:extLst>
        </xdr:cNvPr>
        <xdr:cNvSpPr txBox="1">
          <a:spLocks noChangeArrowheads="1"/>
        </xdr:cNvSpPr>
      </xdr:nvSpPr>
      <xdr:spPr bwMode="auto">
        <a:xfrm>
          <a:off x="7505700" y="50482500"/>
          <a:ext cx="76200" cy="200025"/>
        </a:xfrm>
        <a:prstGeom prst="rect">
          <a:avLst/>
        </a:prstGeom>
        <a:noFill/>
        <a:ln w="9525">
          <a:noFill/>
          <a:miter lim="800000"/>
          <a:headEnd/>
          <a:tailEnd/>
        </a:ln>
      </xdr:spPr>
    </xdr:sp>
    <xdr:clientData/>
  </xdr:oneCellAnchor>
  <xdr:oneCellAnchor>
    <xdr:from>
      <xdr:col>4</xdr:col>
      <xdr:colOff>390525</xdr:colOff>
      <xdr:row>118</xdr:row>
      <xdr:rowOff>0</xdr:rowOff>
    </xdr:from>
    <xdr:ext cx="76200" cy="200025"/>
    <xdr:sp macro="" textlink="">
      <xdr:nvSpPr>
        <xdr:cNvPr id="96" name="Text Box 1">
          <a:extLst>
            <a:ext uri="{FF2B5EF4-FFF2-40B4-BE49-F238E27FC236}">
              <a16:creationId xmlns:a16="http://schemas.microsoft.com/office/drawing/2014/main" id="{4EF6C2BE-7117-4320-996E-73403BD32851}"/>
            </a:ext>
          </a:extLst>
        </xdr:cNvPr>
        <xdr:cNvSpPr txBox="1">
          <a:spLocks noChangeArrowheads="1"/>
        </xdr:cNvSpPr>
      </xdr:nvSpPr>
      <xdr:spPr bwMode="auto">
        <a:xfrm>
          <a:off x="7505700" y="50482500"/>
          <a:ext cx="76200" cy="200025"/>
        </a:xfrm>
        <a:prstGeom prst="rect">
          <a:avLst/>
        </a:prstGeom>
        <a:noFill/>
        <a:ln w="9525">
          <a:noFill/>
          <a:miter lim="800000"/>
          <a:headEnd/>
          <a:tailEnd/>
        </a:ln>
      </xdr:spPr>
    </xdr:sp>
    <xdr:clientData/>
  </xdr:oneCellAnchor>
  <xdr:oneCellAnchor>
    <xdr:from>
      <xdr:col>4</xdr:col>
      <xdr:colOff>390525</xdr:colOff>
      <xdr:row>118</xdr:row>
      <xdr:rowOff>0</xdr:rowOff>
    </xdr:from>
    <xdr:ext cx="76200" cy="200025"/>
    <xdr:sp macro="" textlink="">
      <xdr:nvSpPr>
        <xdr:cNvPr id="97" name="Text Box 1">
          <a:extLst>
            <a:ext uri="{FF2B5EF4-FFF2-40B4-BE49-F238E27FC236}">
              <a16:creationId xmlns:a16="http://schemas.microsoft.com/office/drawing/2014/main" id="{274541C1-E983-4A2C-8847-AB95E7165142}"/>
            </a:ext>
          </a:extLst>
        </xdr:cNvPr>
        <xdr:cNvSpPr txBox="1">
          <a:spLocks noChangeArrowheads="1"/>
        </xdr:cNvSpPr>
      </xdr:nvSpPr>
      <xdr:spPr bwMode="auto">
        <a:xfrm>
          <a:off x="7505700" y="50482500"/>
          <a:ext cx="76200" cy="200025"/>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98" name="Text Box 1">
          <a:extLst>
            <a:ext uri="{FF2B5EF4-FFF2-40B4-BE49-F238E27FC236}">
              <a16:creationId xmlns:a16="http://schemas.microsoft.com/office/drawing/2014/main" id="{E1AE7FA2-591F-4FDC-8666-262E5378718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99" name="Text Box 2">
          <a:extLst>
            <a:ext uri="{FF2B5EF4-FFF2-40B4-BE49-F238E27FC236}">
              <a16:creationId xmlns:a16="http://schemas.microsoft.com/office/drawing/2014/main" id="{933E2E05-B4A1-414A-862F-930DBAB76CF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00" name="Text Box 3">
          <a:extLst>
            <a:ext uri="{FF2B5EF4-FFF2-40B4-BE49-F238E27FC236}">
              <a16:creationId xmlns:a16="http://schemas.microsoft.com/office/drawing/2014/main" id="{3C8D8F82-C326-4E2D-A410-74F4B50C242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01" name="Text Box 4">
          <a:extLst>
            <a:ext uri="{FF2B5EF4-FFF2-40B4-BE49-F238E27FC236}">
              <a16:creationId xmlns:a16="http://schemas.microsoft.com/office/drawing/2014/main" id="{AAAE3B1A-6DEC-4914-89D6-15F667BAD48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02" name="Text Box 5">
          <a:extLst>
            <a:ext uri="{FF2B5EF4-FFF2-40B4-BE49-F238E27FC236}">
              <a16:creationId xmlns:a16="http://schemas.microsoft.com/office/drawing/2014/main" id="{4E62A55F-EC93-4AFF-8DB7-BB37BC4D70C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03" name="Text Box 6">
          <a:extLst>
            <a:ext uri="{FF2B5EF4-FFF2-40B4-BE49-F238E27FC236}">
              <a16:creationId xmlns:a16="http://schemas.microsoft.com/office/drawing/2014/main" id="{32B1B121-69A8-439E-9219-5BB1F4E50F3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04" name="Text Box 7">
          <a:extLst>
            <a:ext uri="{FF2B5EF4-FFF2-40B4-BE49-F238E27FC236}">
              <a16:creationId xmlns:a16="http://schemas.microsoft.com/office/drawing/2014/main" id="{FDEF44E6-D9A6-4E21-BEDC-E9674CF74E01}"/>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05" name="Text Box 8">
          <a:extLst>
            <a:ext uri="{FF2B5EF4-FFF2-40B4-BE49-F238E27FC236}">
              <a16:creationId xmlns:a16="http://schemas.microsoft.com/office/drawing/2014/main" id="{4B075FBD-C2FF-4F64-941E-948A74D0FBA1}"/>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06" name="Text Box 9">
          <a:extLst>
            <a:ext uri="{FF2B5EF4-FFF2-40B4-BE49-F238E27FC236}">
              <a16:creationId xmlns:a16="http://schemas.microsoft.com/office/drawing/2014/main" id="{1C368FFB-B057-4BCD-B8CA-77EE660C105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07" name="Text Box 10">
          <a:extLst>
            <a:ext uri="{FF2B5EF4-FFF2-40B4-BE49-F238E27FC236}">
              <a16:creationId xmlns:a16="http://schemas.microsoft.com/office/drawing/2014/main" id="{D10ADCDF-E577-4661-86A2-19850087065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08" name="Text Box 11">
          <a:extLst>
            <a:ext uri="{FF2B5EF4-FFF2-40B4-BE49-F238E27FC236}">
              <a16:creationId xmlns:a16="http://schemas.microsoft.com/office/drawing/2014/main" id="{C60D96E7-A377-4E2A-9993-9717F6F5422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09" name="Text Box 12">
          <a:extLst>
            <a:ext uri="{FF2B5EF4-FFF2-40B4-BE49-F238E27FC236}">
              <a16:creationId xmlns:a16="http://schemas.microsoft.com/office/drawing/2014/main" id="{AFF895E3-E3A5-4F62-B3E2-E11F12F2405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10" name="Text Box 13">
          <a:extLst>
            <a:ext uri="{FF2B5EF4-FFF2-40B4-BE49-F238E27FC236}">
              <a16:creationId xmlns:a16="http://schemas.microsoft.com/office/drawing/2014/main" id="{EC57FC79-8469-454A-8076-1FC11430D1A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11" name="Text Box 14">
          <a:extLst>
            <a:ext uri="{FF2B5EF4-FFF2-40B4-BE49-F238E27FC236}">
              <a16:creationId xmlns:a16="http://schemas.microsoft.com/office/drawing/2014/main" id="{D4256490-C099-430F-B87A-6E468E317B5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12" name="Text Box 15">
          <a:extLst>
            <a:ext uri="{FF2B5EF4-FFF2-40B4-BE49-F238E27FC236}">
              <a16:creationId xmlns:a16="http://schemas.microsoft.com/office/drawing/2014/main" id="{A6ACEF5E-5D0E-4F1F-A74D-28CCA6310D8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13" name="Text Box 16">
          <a:extLst>
            <a:ext uri="{FF2B5EF4-FFF2-40B4-BE49-F238E27FC236}">
              <a16:creationId xmlns:a16="http://schemas.microsoft.com/office/drawing/2014/main" id="{1C13A2AB-D8FB-4FDA-9EAC-B62F04C07FB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14" name="Text Box 17">
          <a:extLst>
            <a:ext uri="{FF2B5EF4-FFF2-40B4-BE49-F238E27FC236}">
              <a16:creationId xmlns:a16="http://schemas.microsoft.com/office/drawing/2014/main" id="{EC4CED1C-8BAF-457A-AAD3-80091190E01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15" name="Text Box 18">
          <a:extLst>
            <a:ext uri="{FF2B5EF4-FFF2-40B4-BE49-F238E27FC236}">
              <a16:creationId xmlns:a16="http://schemas.microsoft.com/office/drawing/2014/main" id="{8F829F9E-FC94-4151-8B38-40D9DBEEB3A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16" name="Text Box 19">
          <a:extLst>
            <a:ext uri="{FF2B5EF4-FFF2-40B4-BE49-F238E27FC236}">
              <a16:creationId xmlns:a16="http://schemas.microsoft.com/office/drawing/2014/main" id="{CB3EFC25-422D-4A0C-AAD2-2210B05EDEC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17" name="Text Box 20">
          <a:extLst>
            <a:ext uri="{FF2B5EF4-FFF2-40B4-BE49-F238E27FC236}">
              <a16:creationId xmlns:a16="http://schemas.microsoft.com/office/drawing/2014/main" id="{F573EDCE-B5E3-4AFA-902C-C53F4CABE9F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18" name="Text Box 21">
          <a:extLst>
            <a:ext uri="{FF2B5EF4-FFF2-40B4-BE49-F238E27FC236}">
              <a16:creationId xmlns:a16="http://schemas.microsoft.com/office/drawing/2014/main" id="{34B21FD3-F2CB-4392-81F9-0A999AED002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19" name="Text Box 22">
          <a:extLst>
            <a:ext uri="{FF2B5EF4-FFF2-40B4-BE49-F238E27FC236}">
              <a16:creationId xmlns:a16="http://schemas.microsoft.com/office/drawing/2014/main" id="{BB7E5117-25BD-4E67-BACB-C86ACE8E6BA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20" name="Text Box 23">
          <a:extLst>
            <a:ext uri="{FF2B5EF4-FFF2-40B4-BE49-F238E27FC236}">
              <a16:creationId xmlns:a16="http://schemas.microsoft.com/office/drawing/2014/main" id="{F533C85B-8203-41F8-B834-71A543C5399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21" name="Text Box 24">
          <a:extLst>
            <a:ext uri="{FF2B5EF4-FFF2-40B4-BE49-F238E27FC236}">
              <a16:creationId xmlns:a16="http://schemas.microsoft.com/office/drawing/2014/main" id="{C7BAFAC3-25FE-40BD-BB85-AD486CE7C5B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22" name="Text Box 7">
          <a:extLst>
            <a:ext uri="{FF2B5EF4-FFF2-40B4-BE49-F238E27FC236}">
              <a16:creationId xmlns:a16="http://schemas.microsoft.com/office/drawing/2014/main" id="{2E2AC47B-D068-4893-9F2C-7A2C8D95399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23" name="Text Box 14">
          <a:extLst>
            <a:ext uri="{FF2B5EF4-FFF2-40B4-BE49-F238E27FC236}">
              <a16:creationId xmlns:a16="http://schemas.microsoft.com/office/drawing/2014/main" id="{C1926C2A-2551-49DC-9E92-FE4DF8C5B9F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24" name="Text Box 17">
          <a:extLst>
            <a:ext uri="{FF2B5EF4-FFF2-40B4-BE49-F238E27FC236}">
              <a16:creationId xmlns:a16="http://schemas.microsoft.com/office/drawing/2014/main" id="{98392940-B1A9-4887-9981-F54DAC0C665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25" name="Text Box 20">
          <a:extLst>
            <a:ext uri="{FF2B5EF4-FFF2-40B4-BE49-F238E27FC236}">
              <a16:creationId xmlns:a16="http://schemas.microsoft.com/office/drawing/2014/main" id="{E1E9585A-3E98-4ABB-9C17-3E839CA127C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26" name="Text Box 23">
          <a:extLst>
            <a:ext uri="{FF2B5EF4-FFF2-40B4-BE49-F238E27FC236}">
              <a16:creationId xmlns:a16="http://schemas.microsoft.com/office/drawing/2014/main" id="{9CB74286-3324-4183-924A-0A59BAC5C74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27" name="Text Box 12">
          <a:extLst>
            <a:ext uri="{FF2B5EF4-FFF2-40B4-BE49-F238E27FC236}">
              <a16:creationId xmlns:a16="http://schemas.microsoft.com/office/drawing/2014/main" id="{23883B1E-E80F-42C6-8782-089C706010C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28" name="Text Box 12">
          <a:extLst>
            <a:ext uri="{FF2B5EF4-FFF2-40B4-BE49-F238E27FC236}">
              <a16:creationId xmlns:a16="http://schemas.microsoft.com/office/drawing/2014/main" id="{B8B99209-2D60-40AA-9A2A-2385FDBDF93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29" name="Text Box 12">
          <a:extLst>
            <a:ext uri="{FF2B5EF4-FFF2-40B4-BE49-F238E27FC236}">
              <a16:creationId xmlns:a16="http://schemas.microsoft.com/office/drawing/2014/main" id="{934998D9-A25E-4EB9-884C-F0B46E777C9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30" name="Text Box 12">
          <a:extLst>
            <a:ext uri="{FF2B5EF4-FFF2-40B4-BE49-F238E27FC236}">
              <a16:creationId xmlns:a16="http://schemas.microsoft.com/office/drawing/2014/main" id="{DA336B14-925C-410C-A778-839B7C348C2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31" name="Text Box 12">
          <a:extLst>
            <a:ext uri="{FF2B5EF4-FFF2-40B4-BE49-F238E27FC236}">
              <a16:creationId xmlns:a16="http://schemas.microsoft.com/office/drawing/2014/main" id="{24DBA5A6-87C5-4A6A-B507-4A848FC3F8E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32" name="Text Box 12">
          <a:extLst>
            <a:ext uri="{FF2B5EF4-FFF2-40B4-BE49-F238E27FC236}">
              <a16:creationId xmlns:a16="http://schemas.microsoft.com/office/drawing/2014/main" id="{8F6D7BE1-AF28-47CF-8A26-0B064E9C275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33" name="Text Box 12">
          <a:extLst>
            <a:ext uri="{FF2B5EF4-FFF2-40B4-BE49-F238E27FC236}">
              <a16:creationId xmlns:a16="http://schemas.microsoft.com/office/drawing/2014/main" id="{29200A4E-C5D2-4944-B687-C3C835D61E02}"/>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34" name="Text Box 12">
          <a:extLst>
            <a:ext uri="{FF2B5EF4-FFF2-40B4-BE49-F238E27FC236}">
              <a16:creationId xmlns:a16="http://schemas.microsoft.com/office/drawing/2014/main" id="{DD752420-F996-49FE-9AF6-A74F7C57895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35" name="Text Box 12">
          <a:extLst>
            <a:ext uri="{FF2B5EF4-FFF2-40B4-BE49-F238E27FC236}">
              <a16:creationId xmlns:a16="http://schemas.microsoft.com/office/drawing/2014/main" id="{43A278BA-2EC8-4F80-A3D4-9870CE1C4BD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36" name="Text Box 12">
          <a:extLst>
            <a:ext uri="{FF2B5EF4-FFF2-40B4-BE49-F238E27FC236}">
              <a16:creationId xmlns:a16="http://schemas.microsoft.com/office/drawing/2014/main" id="{C162C23E-198C-496E-9152-D7BE6BEFC50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37" name="Text Box 12">
          <a:extLst>
            <a:ext uri="{FF2B5EF4-FFF2-40B4-BE49-F238E27FC236}">
              <a16:creationId xmlns:a16="http://schemas.microsoft.com/office/drawing/2014/main" id="{F91FD598-2A3D-41A6-9411-112FE0D4450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38" name="Text Box 12">
          <a:extLst>
            <a:ext uri="{FF2B5EF4-FFF2-40B4-BE49-F238E27FC236}">
              <a16:creationId xmlns:a16="http://schemas.microsoft.com/office/drawing/2014/main" id="{5F1AC5AE-06C5-4E6C-B614-6B4EE219C3C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39" name="Text Box 12">
          <a:extLst>
            <a:ext uri="{FF2B5EF4-FFF2-40B4-BE49-F238E27FC236}">
              <a16:creationId xmlns:a16="http://schemas.microsoft.com/office/drawing/2014/main" id="{180076FC-209C-4CF2-B7D7-4EC155CF51E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40" name="Text Box 12">
          <a:extLst>
            <a:ext uri="{FF2B5EF4-FFF2-40B4-BE49-F238E27FC236}">
              <a16:creationId xmlns:a16="http://schemas.microsoft.com/office/drawing/2014/main" id="{4F5AF431-C2BC-4431-B5CD-5A5A6509E6F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41" name="Text Box 12">
          <a:extLst>
            <a:ext uri="{FF2B5EF4-FFF2-40B4-BE49-F238E27FC236}">
              <a16:creationId xmlns:a16="http://schemas.microsoft.com/office/drawing/2014/main" id="{48AA03FA-13D7-4E0D-9CE3-0ED62FA0C8A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42" name="Text Box 12">
          <a:extLst>
            <a:ext uri="{FF2B5EF4-FFF2-40B4-BE49-F238E27FC236}">
              <a16:creationId xmlns:a16="http://schemas.microsoft.com/office/drawing/2014/main" id="{5F974D3D-E396-49C5-854F-5464FC578A3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43" name="Text Box 12">
          <a:extLst>
            <a:ext uri="{FF2B5EF4-FFF2-40B4-BE49-F238E27FC236}">
              <a16:creationId xmlns:a16="http://schemas.microsoft.com/office/drawing/2014/main" id="{99C0C9FD-D634-4E61-9879-C788E4CEF1C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44" name="Text Box 12">
          <a:extLst>
            <a:ext uri="{FF2B5EF4-FFF2-40B4-BE49-F238E27FC236}">
              <a16:creationId xmlns:a16="http://schemas.microsoft.com/office/drawing/2014/main" id="{C7A9B0E0-A38D-497C-A2A5-D3006A4C55A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45" name="Text Box 12">
          <a:extLst>
            <a:ext uri="{FF2B5EF4-FFF2-40B4-BE49-F238E27FC236}">
              <a16:creationId xmlns:a16="http://schemas.microsoft.com/office/drawing/2014/main" id="{D215A935-BCF2-41B9-A4D7-24ADC987EE9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46" name="Text Box 12">
          <a:extLst>
            <a:ext uri="{FF2B5EF4-FFF2-40B4-BE49-F238E27FC236}">
              <a16:creationId xmlns:a16="http://schemas.microsoft.com/office/drawing/2014/main" id="{E440998D-45DC-4977-A327-02C7D1BA7C81}"/>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47" name="Text Box 12">
          <a:extLst>
            <a:ext uri="{FF2B5EF4-FFF2-40B4-BE49-F238E27FC236}">
              <a16:creationId xmlns:a16="http://schemas.microsoft.com/office/drawing/2014/main" id="{2F370BA2-7B61-4D19-8676-A87639838A4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48" name="Text Box 12">
          <a:extLst>
            <a:ext uri="{FF2B5EF4-FFF2-40B4-BE49-F238E27FC236}">
              <a16:creationId xmlns:a16="http://schemas.microsoft.com/office/drawing/2014/main" id="{55259132-8D72-4D42-82E7-1A432054DCF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49" name="Text Box 12">
          <a:extLst>
            <a:ext uri="{FF2B5EF4-FFF2-40B4-BE49-F238E27FC236}">
              <a16:creationId xmlns:a16="http://schemas.microsoft.com/office/drawing/2014/main" id="{13C7599D-D452-4865-87D8-C0094A7F9E4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50" name="Text Box 12">
          <a:extLst>
            <a:ext uri="{FF2B5EF4-FFF2-40B4-BE49-F238E27FC236}">
              <a16:creationId xmlns:a16="http://schemas.microsoft.com/office/drawing/2014/main" id="{E3FBE53E-6A0D-4EB6-85E1-93F3B36B45C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51" name="Text Box 12">
          <a:extLst>
            <a:ext uri="{FF2B5EF4-FFF2-40B4-BE49-F238E27FC236}">
              <a16:creationId xmlns:a16="http://schemas.microsoft.com/office/drawing/2014/main" id="{B429A1BB-656B-4149-8ED3-68B43B57700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52" name="Text Box 12">
          <a:extLst>
            <a:ext uri="{FF2B5EF4-FFF2-40B4-BE49-F238E27FC236}">
              <a16:creationId xmlns:a16="http://schemas.microsoft.com/office/drawing/2014/main" id="{11E779D5-55C9-47DB-9824-AD0199B998B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53" name="Text Box 12">
          <a:extLst>
            <a:ext uri="{FF2B5EF4-FFF2-40B4-BE49-F238E27FC236}">
              <a16:creationId xmlns:a16="http://schemas.microsoft.com/office/drawing/2014/main" id="{CAC98DFA-1777-4AFD-8E62-9F649252B1B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54" name="Text Box 12">
          <a:extLst>
            <a:ext uri="{FF2B5EF4-FFF2-40B4-BE49-F238E27FC236}">
              <a16:creationId xmlns:a16="http://schemas.microsoft.com/office/drawing/2014/main" id="{FF14552D-A9D5-41B1-BE2B-E04B9BBD1D6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55" name="Text Box 12">
          <a:extLst>
            <a:ext uri="{FF2B5EF4-FFF2-40B4-BE49-F238E27FC236}">
              <a16:creationId xmlns:a16="http://schemas.microsoft.com/office/drawing/2014/main" id="{4295A3A1-4467-421B-B96E-97F501F4027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56" name="Text Box 12">
          <a:extLst>
            <a:ext uri="{FF2B5EF4-FFF2-40B4-BE49-F238E27FC236}">
              <a16:creationId xmlns:a16="http://schemas.microsoft.com/office/drawing/2014/main" id="{13443CB3-CDE3-4953-97E3-DDE0C69A76E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57" name="Text Box 12">
          <a:extLst>
            <a:ext uri="{FF2B5EF4-FFF2-40B4-BE49-F238E27FC236}">
              <a16:creationId xmlns:a16="http://schemas.microsoft.com/office/drawing/2014/main" id="{482C2D48-93F9-4900-938C-A688ABACCFB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58" name="Text Box 12">
          <a:extLst>
            <a:ext uri="{FF2B5EF4-FFF2-40B4-BE49-F238E27FC236}">
              <a16:creationId xmlns:a16="http://schemas.microsoft.com/office/drawing/2014/main" id="{C6030A7E-8160-4002-923E-5E644D4DA24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59" name="Text Box 12">
          <a:extLst>
            <a:ext uri="{FF2B5EF4-FFF2-40B4-BE49-F238E27FC236}">
              <a16:creationId xmlns:a16="http://schemas.microsoft.com/office/drawing/2014/main" id="{F6899DC8-5F3E-474F-B36C-53320284DC1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60" name="Text Box 12">
          <a:extLst>
            <a:ext uri="{FF2B5EF4-FFF2-40B4-BE49-F238E27FC236}">
              <a16:creationId xmlns:a16="http://schemas.microsoft.com/office/drawing/2014/main" id="{780AAF2F-5D14-491A-B98C-EC6C7468BCB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61" name="Text Box 12">
          <a:extLst>
            <a:ext uri="{FF2B5EF4-FFF2-40B4-BE49-F238E27FC236}">
              <a16:creationId xmlns:a16="http://schemas.microsoft.com/office/drawing/2014/main" id="{90FFE6E2-47E0-4976-9A01-93BC696A4E2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62" name="Text Box 12">
          <a:extLst>
            <a:ext uri="{FF2B5EF4-FFF2-40B4-BE49-F238E27FC236}">
              <a16:creationId xmlns:a16="http://schemas.microsoft.com/office/drawing/2014/main" id="{5A4F2960-2AFD-47A4-A6E8-20000ABDB4A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63" name="Text Box 12">
          <a:extLst>
            <a:ext uri="{FF2B5EF4-FFF2-40B4-BE49-F238E27FC236}">
              <a16:creationId xmlns:a16="http://schemas.microsoft.com/office/drawing/2014/main" id="{66C0B833-6E1A-4C79-A6A7-D69B3922A43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64" name="Text Box 12">
          <a:extLst>
            <a:ext uri="{FF2B5EF4-FFF2-40B4-BE49-F238E27FC236}">
              <a16:creationId xmlns:a16="http://schemas.microsoft.com/office/drawing/2014/main" id="{C9516A53-97E0-4AB8-BD51-441E902F1C3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65" name="Text Box 12">
          <a:extLst>
            <a:ext uri="{FF2B5EF4-FFF2-40B4-BE49-F238E27FC236}">
              <a16:creationId xmlns:a16="http://schemas.microsoft.com/office/drawing/2014/main" id="{1FF60DE2-A431-4DBD-B33F-E69A9588B8C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66" name="Text Box 12">
          <a:extLst>
            <a:ext uri="{FF2B5EF4-FFF2-40B4-BE49-F238E27FC236}">
              <a16:creationId xmlns:a16="http://schemas.microsoft.com/office/drawing/2014/main" id="{45394BE6-F3B4-4251-AE0F-0E10389EC4F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67" name="Text Box 12">
          <a:extLst>
            <a:ext uri="{FF2B5EF4-FFF2-40B4-BE49-F238E27FC236}">
              <a16:creationId xmlns:a16="http://schemas.microsoft.com/office/drawing/2014/main" id="{CBD6D819-8F9F-4788-8D5F-B2D65E61224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68" name="Text Box 12">
          <a:extLst>
            <a:ext uri="{FF2B5EF4-FFF2-40B4-BE49-F238E27FC236}">
              <a16:creationId xmlns:a16="http://schemas.microsoft.com/office/drawing/2014/main" id="{7E3E1D81-CD5B-4F1F-9F99-504CAA7413C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69" name="Text Box 12">
          <a:extLst>
            <a:ext uri="{FF2B5EF4-FFF2-40B4-BE49-F238E27FC236}">
              <a16:creationId xmlns:a16="http://schemas.microsoft.com/office/drawing/2014/main" id="{CCD052AB-B1BE-4EE4-8747-12338F9983D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70" name="Text Box 12">
          <a:extLst>
            <a:ext uri="{FF2B5EF4-FFF2-40B4-BE49-F238E27FC236}">
              <a16:creationId xmlns:a16="http://schemas.microsoft.com/office/drawing/2014/main" id="{1059A027-D009-4D3A-AA50-A84F8AC9CE0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71" name="Text Box 12">
          <a:extLst>
            <a:ext uri="{FF2B5EF4-FFF2-40B4-BE49-F238E27FC236}">
              <a16:creationId xmlns:a16="http://schemas.microsoft.com/office/drawing/2014/main" id="{5521905E-F502-4C6E-B131-BFE81FCE831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72" name="Text Box 12">
          <a:extLst>
            <a:ext uri="{FF2B5EF4-FFF2-40B4-BE49-F238E27FC236}">
              <a16:creationId xmlns:a16="http://schemas.microsoft.com/office/drawing/2014/main" id="{0CFB1D11-68F6-4B75-9865-B4E19419117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73" name="Text Box 12">
          <a:extLst>
            <a:ext uri="{FF2B5EF4-FFF2-40B4-BE49-F238E27FC236}">
              <a16:creationId xmlns:a16="http://schemas.microsoft.com/office/drawing/2014/main" id="{819DBED8-E33B-458D-865D-A3D233D78A6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74" name="Text Box 12">
          <a:extLst>
            <a:ext uri="{FF2B5EF4-FFF2-40B4-BE49-F238E27FC236}">
              <a16:creationId xmlns:a16="http://schemas.microsoft.com/office/drawing/2014/main" id="{1B0F0C16-F8BA-4A9C-A327-EE20E3CED24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75" name="Text Box 12">
          <a:extLst>
            <a:ext uri="{FF2B5EF4-FFF2-40B4-BE49-F238E27FC236}">
              <a16:creationId xmlns:a16="http://schemas.microsoft.com/office/drawing/2014/main" id="{29B38BAB-39FE-4AA7-B708-C8B4EA16C5C2}"/>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76" name="Text Box 12">
          <a:extLst>
            <a:ext uri="{FF2B5EF4-FFF2-40B4-BE49-F238E27FC236}">
              <a16:creationId xmlns:a16="http://schemas.microsoft.com/office/drawing/2014/main" id="{0374EEEA-B35F-4E3E-84F8-E5F830D17DD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77" name="Text Box 1">
          <a:extLst>
            <a:ext uri="{FF2B5EF4-FFF2-40B4-BE49-F238E27FC236}">
              <a16:creationId xmlns:a16="http://schemas.microsoft.com/office/drawing/2014/main" id="{9B4174F7-9BD9-46FE-A633-0DAFA2325D6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78" name="Text Box 1">
          <a:extLst>
            <a:ext uri="{FF2B5EF4-FFF2-40B4-BE49-F238E27FC236}">
              <a16:creationId xmlns:a16="http://schemas.microsoft.com/office/drawing/2014/main" id="{356B462F-AAB5-4199-A2E6-74042197F83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79" name="Text Box 1">
          <a:extLst>
            <a:ext uri="{FF2B5EF4-FFF2-40B4-BE49-F238E27FC236}">
              <a16:creationId xmlns:a16="http://schemas.microsoft.com/office/drawing/2014/main" id="{87A0EC73-A91B-4CEA-88DA-C8D6F8B491E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80" name="Text Box 1">
          <a:extLst>
            <a:ext uri="{FF2B5EF4-FFF2-40B4-BE49-F238E27FC236}">
              <a16:creationId xmlns:a16="http://schemas.microsoft.com/office/drawing/2014/main" id="{93456A56-F11F-432E-8F89-FAB0F46A4EF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81" name="Text Box 1">
          <a:extLst>
            <a:ext uri="{FF2B5EF4-FFF2-40B4-BE49-F238E27FC236}">
              <a16:creationId xmlns:a16="http://schemas.microsoft.com/office/drawing/2014/main" id="{1B3E2F61-6555-4FCF-8C99-6290C540EE9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82" name="Text Box 1">
          <a:extLst>
            <a:ext uri="{FF2B5EF4-FFF2-40B4-BE49-F238E27FC236}">
              <a16:creationId xmlns:a16="http://schemas.microsoft.com/office/drawing/2014/main" id="{441305F2-79CD-4436-A566-D6783E577A1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83" name="Text Box 1">
          <a:extLst>
            <a:ext uri="{FF2B5EF4-FFF2-40B4-BE49-F238E27FC236}">
              <a16:creationId xmlns:a16="http://schemas.microsoft.com/office/drawing/2014/main" id="{DC745749-B069-429C-8CE4-EBCB5D27A98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84" name="Text Box 1">
          <a:extLst>
            <a:ext uri="{FF2B5EF4-FFF2-40B4-BE49-F238E27FC236}">
              <a16:creationId xmlns:a16="http://schemas.microsoft.com/office/drawing/2014/main" id="{36D9E2CE-23EA-43E4-B552-55CBCED0117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85" name="Text Box 1">
          <a:extLst>
            <a:ext uri="{FF2B5EF4-FFF2-40B4-BE49-F238E27FC236}">
              <a16:creationId xmlns:a16="http://schemas.microsoft.com/office/drawing/2014/main" id="{FA9163FC-BC02-406C-BC61-CD8E8CF20F5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86" name="Text Box 1">
          <a:extLst>
            <a:ext uri="{FF2B5EF4-FFF2-40B4-BE49-F238E27FC236}">
              <a16:creationId xmlns:a16="http://schemas.microsoft.com/office/drawing/2014/main" id="{0B9E89B7-E94A-41E9-AF96-1CA427F3804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87" name="Text Box 12">
          <a:extLst>
            <a:ext uri="{FF2B5EF4-FFF2-40B4-BE49-F238E27FC236}">
              <a16:creationId xmlns:a16="http://schemas.microsoft.com/office/drawing/2014/main" id="{1BEF01F9-CD05-4EB6-8709-B4B7B70A58E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88" name="Text Box 12">
          <a:extLst>
            <a:ext uri="{FF2B5EF4-FFF2-40B4-BE49-F238E27FC236}">
              <a16:creationId xmlns:a16="http://schemas.microsoft.com/office/drawing/2014/main" id="{0E231815-C39D-47E3-B3EA-30C8EFA3F6D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89" name="Text Box 12">
          <a:extLst>
            <a:ext uri="{FF2B5EF4-FFF2-40B4-BE49-F238E27FC236}">
              <a16:creationId xmlns:a16="http://schemas.microsoft.com/office/drawing/2014/main" id="{78EAEBDB-4059-4991-98D3-64F227367CD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118</xdr:row>
      <xdr:rowOff>0</xdr:rowOff>
    </xdr:from>
    <xdr:ext cx="76200" cy="200025"/>
    <xdr:sp macro="" textlink="">
      <xdr:nvSpPr>
        <xdr:cNvPr id="190" name="Text Box 4">
          <a:extLst>
            <a:ext uri="{FF2B5EF4-FFF2-40B4-BE49-F238E27FC236}">
              <a16:creationId xmlns:a16="http://schemas.microsoft.com/office/drawing/2014/main" id="{D7066D37-01B1-4561-90EF-C2205540F4C4}"/>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oneCellAnchor>
    <xdr:from>
      <xdr:col>9</xdr:col>
      <xdr:colOff>0</xdr:colOff>
      <xdr:row>118</xdr:row>
      <xdr:rowOff>0</xdr:rowOff>
    </xdr:from>
    <xdr:ext cx="76200" cy="200025"/>
    <xdr:sp macro="" textlink="">
      <xdr:nvSpPr>
        <xdr:cNvPr id="191" name="Text Box 11">
          <a:extLst>
            <a:ext uri="{FF2B5EF4-FFF2-40B4-BE49-F238E27FC236}">
              <a16:creationId xmlns:a16="http://schemas.microsoft.com/office/drawing/2014/main" id="{6EC3A4E4-5A68-497A-8DE6-8572246851F2}"/>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oneCellAnchor>
    <xdr:from>
      <xdr:col>9</xdr:col>
      <xdr:colOff>0</xdr:colOff>
      <xdr:row>118</xdr:row>
      <xdr:rowOff>0</xdr:rowOff>
    </xdr:from>
    <xdr:ext cx="76200" cy="200025"/>
    <xdr:sp macro="" textlink="">
      <xdr:nvSpPr>
        <xdr:cNvPr id="192" name="Text Box 1">
          <a:extLst>
            <a:ext uri="{FF2B5EF4-FFF2-40B4-BE49-F238E27FC236}">
              <a16:creationId xmlns:a16="http://schemas.microsoft.com/office/drawing/2014/main" id="{DD48C24F-5A06-473F-921F-715C0D52C019}"/>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oneCellAnchor>
    <xdr:from>
      <xdr:col>9</xdr:col>
      <xdr:colOff>0</xdr:colOff>
      <xdr:row>118</xdr:row>
      <xdr:rowOff>0</xdr:rowOff>
    </xdr:from>
    <xdr:ext cx="76200" cy="200025"/>
    <xdr:sp macro="" textlink="">
      <xdr:nvSpPr>
        <xdr:cNvPr id="193" name="Text Box 1">
          <a:extLst>
            <a:ext uri="{FF2B5EF4-FFF2-40B4-BE49-F238E27FC236}">
              <a16:creationId xmlns:a16="http://schemas.microsoft.com/office/drawing/2014/main" id="{0FFA6148-7A2D-43F0-9232-B99F7ACE7987}"/>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94" name="Text Box 1">
          <a:extLst>
            <a:ext uri="{FF2B5EF4-FFF2-40B4-BE49-F238E27FC236}">
              <a16:creationId xmlns:a16="http://schemas.microsoft.com/office/drawing/2014/main" id="{31A97A9F-D5F6-44ED-8A55-0267C6407832}"/>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95" name="Text Box 2">
          <a:extLst>
            <a:ext uri="{FF2B5EF4-FFF2-40B4-BE49-F238E27FC236}">
              <a16:creationId xmlns:a16="http://schemas.microsoft.com/office/drawing/2014/main" id="{3F4B71ED-0EE8-47A3-888B-F456E168BC22}"/>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96" name="Text Box 3">
          <a:extLst>
            <a:ext uri="{FF2B5EF4-FFF2-40B4-BE49-F238E27FC236}">
              <a16:creationId xmlns:a16="http://schemas.microsoft.com/office/drawing/2014/main" id="{0CF62EA9-1FA7-4A6C-A15B-3D9C3670A05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97" name="Text Box 4">
          <a:extLst>
            <a:ext uri="{FF2B5EF4-FFF2-40B4-BE49-F238E27FC236}">
              <a16:creationId xmlns:a16="http://schemas.microsoft.com/office/drawing/2014/main" id="{418A84AA-47B6-45C1-908E-1FA9F254E6C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98" name="Text Box 5">
          <a:extLst>
            <a:ext uri="{FF2B5EF4-FFF2-40B4-BE49-F238E27FC236}">
              <a16:creationId xmlns:a16="http://schemas.microsoft.com/office/drawing/2014/main" id="{257A048E-416C-45B1-9BD7-C1B97FE7CFF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199" name="Text Box 6">
          <a:extLst>
            <a:ext uri="{FF2B5EF4-FFF2-40B4-BE49-F238E27FC236}">
              <a16:creationId xmlns:a16="http://schemas.microsoft.com/office/drawing/2014/main" id="{2C7C87C7-4E61-4135-B9DA-76EF3F5E861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00" name="Text Box 7">
          <a:extLst>
            <a:ext uri="{FF2B5EF4-FFF2-40B4-BE49-F238E27FC236}">
              <a16:creationId xmlns:a16="http://schemas.microsoft.com/office/drawing/2014/main" id="{E1C73225-B849-4D4F-BE0D-3649A7F17E5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01" name="Text Box 8">
          <a:extLst>
            <a:ext uri="{FF2B5EF4-FFF2-40B4-BE49-F238E27FC236}">
              <a16:creationId xmlns:a16="http://schemas.microsoft.com/office/drawing/2014/main" id="{53637FB9-B995-4560-B17C-17913C4FC2B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02" name="Text Box 9">
          <a:extLst>
            <a:ext uri="{FF2B5EF4-FFF2-40B4-BE49-F238E27FC236}">
              <a16:creationId xmlns:a16="http://schemas.microsoft.com/office/drawing/2014/main" id="{1113F333-3676-40BF-8E79-ECA1D4F1F41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03" name="Text Box 10">
          <a:extLst>
            <a:ext uri="{FF2B5EF4-FFF2-40B4-BE49-F238E27FC236}">
              <a16:creationId xmlns:a16="http://schemas.microsoft.com/office/drawing/2014/main" id="{818F4EF6-90E1-4F70-8184-62A33A73E75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04" name="Text Box 11">
          <a:extLst>
            <a:ext uri="{FF2B5EF4-FFF2-40B4-BE49-F238E27FC236}">
              <a16:creationId xmlns:a16="http://schemas.microsoft.com/office/drawing/2014/main" id="{33AB33EF-5545-4A65-94F7-26F8F5BECEC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05" name="Text Box 12">
          <a:extLst>
            <a:ext uri="{FF2B5EF4-FFF2-40B4-BE49-F238E27FC236}">
              <a16:creationId xmlns:a16="http://schemas.microsoft.com/office/drawing/2014/main" id="{086E88E2-788A-4A7A-BA52-562A687EF9B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06" name="Text Box 13">
          <a:extLst>
            <a:ext uri="{FF2B5EF4-FFF2-40B4-BE49-F238E27FC236}">
              <a16:creationId xmlns:a16="http://schemas.microsoft.com/office/drawing/2014/main" id="{EB08CD93-42F1-40CA-B9E6-00CB40FCD0A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07" name="Text Box 14">
          <a:extLst>
            <a:ext uri="{FF2B5EF4-FFF2-40B4-BE49-F238E27FC236}">
              <a16:creationId xmlns:a16="http://schemas.microsoft.com/office/drawing/2014/main" id="{CF1B8A29-C55A-4A49-A885-62C8BE7CBD0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08" name="Text Box 15">
          <a:extLst>
            <a:ext uri="{FF2B5EF4-FFF2-40B4-BE49-F238E27FC236}">
              <a16:creationId xmlns:a16="http://schemas.microsoft.com/office/drawing/2014/main" id="{6F43EB90-8EFE-4EB3-BA4A-645F51B4903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09" name="Text Box 16">
          <a:extLst>
            <a:ext uri="{FF2B5EF4-FFF2-40B4-BE49-F238E27FC236}">
              <a16:creationId xmlns:a16="http://schemas.microsoft.com/office/drawing/2014/main" id="{F56CB5F8-6234-4405-A315-FCB1E6FC53A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10" name="Text Box 17">
          <a:extLst>
            <a:ext uri="{FF2B5EF4-FFF2-40B4-BE49-F238E27FC236}">
              <a16:creationId xmlns:a16="http://schemas.microsoft.com/office/drawing/2014/main" id="{4CFAE6E9-B061-4DE4-82F4-D05F3B1A39C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11" name="Text Box 18">
          <a:extLst>
            <a:ext uri="{FF2B5EF4-FFF2-40B4-BE49-F238E27FC236}">
              <a16:creationId xmlns:a16="http://schemas.microsoft.com/office/drawing/2014/main" id="{27765342-D495-4C3D-B172-C852880E7AA2}"/>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12" name="Text Box 19">
          <a:extLst>
            <a:ext uri="{FF2B5EF4-FFF2-40B4-BE49-F238E27FC236}">
              <a16:creationId xmlns:a16="http://schemas.microsoft.com/office/drawing/2014/main" id="{C0424E5E-B45F-4751-BFBB-513F1B33EED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13" name="Text Box 20">
          <a:extLst>
            <a:ext uri="{FF2B5EF4-FFF2-40B4-BE49-F238E27FC236}">
              <a16:creationId xmlns:a16="http://schemas.microsoft.com/office/drawing/2014/main" id="{76A63B11-D26E-4BAE-A89F-D76E6D459B6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14" name="Text Box 21">
          <a:extLst>
            <a:ext uri="{FF2B5EF4-FFF2-40B4-BE49-F238E27FC236}">
              <a16:creationId xmlns:a16="http://schemas.microsoft.com/office/drawing/2014/main" id="{0FAD7083-1528-4963-80F1-9A6BE0D6AB7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15" name="Text Box 22">
          <a:extLst>
            <a:ext uri="{FF2B5EF4-FFF2-40B4-BE49-F238E27FC236}">
              <a16:creationId xmlns:a16="http://schemas.microsoft.com/office/drawing/2014/main" id="{FEC4C873-4DA1-4E6A-8CBD-9E4095CD971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16" name="Text Box 23">
          <a:extLst>
            <a:ext uri="{FF2B5EF4-FFF2-40B4-BE49-F238E27FC236}">
              <a16:creationId xmlns:a16="http://schemas.microsoft.com/office/drawing/2014/main" id="{19A3A6F9-B2C5-4E17-9BB1-06DD0BB2F20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17" name="Text Box 24">
          <a:extLst>
            <a:ext uri="{FF2B5EF4-FFF2-40B4-BE49-F238E27FC236}">
              <a16:creationId xmlns:a16="http://schemas.microsoft.com/office/drawing/2014/main" id="{64554175-9AB4-4A09-B147-10EC58F75D22}"/>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18" name="Text Box 7">
          <a:extLst>
            <a:ext uri="{FF2B5EF4-FFF2-40B4-BE49-F238E27FC236}">
              <a16:creationId xmlns:a16="http://schemas.microsoft.com/office/drawing/2014/main" id="{F856B3CD-B82A-416E-B662-DCAEF97F8E8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19" name="Text Box 14">
          <a:extLst>
            <a:ext uri="{FF2B5EF4-FFF2-40B4-BE49-F238E27FC236}">
              <a16:creationId xmlns:a16="http://schemas.microsoft.com/office/drawing/2014/main" id="{A93EC2A5-E8F3-4FC6-ACE2-9AC0CB94AC8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20" name="Text Box 17">
          <a:extLst>
            <a:ext uri="{FF2B5EF4-FFF2-40B4-BE49-F238E27FC236}">
              <a16:creationId xmlns:a16="http://schemas.microsoft.com/office/drawing/2014/main" id="{E3FFC163-ABDF-4CF7-8D82-F1671DD6EE5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21" name="Text Box 20">
          <a:extLst>
            <a:ext uri="{FF2B5EF4-FFF2-40B4-BE49-F238E27FC236}">
              <a16:creationId xmlns:a16="http://schemas.microsoft.com/office/drawing/2014/main" id="{5BF32B6B-F15E-4873-A418-D07F9B4B2EA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22" name="Text Box 23">
          <a:extLst>
            <a:ext uri="{FF2B5EF4-FFF2-40B4-BE49-F238E27FC236}">
              <a16:creationId xmlns:a16="http://schemas.microsoft.com/office/drawing/2014/main" id="{190E081B-3D33-4534-9B5A-8102F84160E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23" name="Text Box 12">
          <a:extLst>
            <a:ext uri="{FF2B5EF4-FFF2-40B4-BE49-F238E27FC236}">
              <a16:creationId xmlns:a16="http://schemas.microsoft.com/office/drawing/2014/main" id="{F2C8DC83-C174-4BD4-8735-033E3B6238F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24" name="Text Box 12">
          <a:extLst>
            <a:ext uri="{FF2B5EF4-FFF2-40B4-BE49-F238E27FC236}">
              <a16:creationId xmlns:a16="http://schemas.microsoft.com/office/drawing/2014/main" id="{5527715F-B097-406A-BC5C-6E90713D35D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25" name="Text Box 12">
          <a:extLst>
            <a:ext uri="{FF2B5EF4-FFF2-40B4-BE49-F238E27FC236}">
              <a16:creationId xmlns:a16="http://schemas.microsoft.com/office/drawing/2014/main" id="{650288B2-426C-4255-A3E1-EFD468B6F27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26" name="Text Box 12">
          <a:extLst>
            <a:ext uri="{FF2B5EF4-FFF2-40B4-BE49-F238E27FC236}">
              <a16:creationId xmlns:a16="http://schemas.microsoft.com/office/drawing/2014/main" id="{293527EF-B28F-4112-9F0B-D02C3076C5A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27" name="Text Box 12">
          <a:extLst>
            <a:ext uri="{FF2B5EF4-FFF2-40B4-BE49-F238E27FC236}">
              <a16:creationId xmlns:a16="http://schemas.microsoft.com/office/drawing/2014/main" id="{C452E886-A2A9-40D9-97E1-8FD9AA124A5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28" name="Text Box 12">
          <a:extLst>
            <a:ext uri="{FF2B5EF4-FFF2-40B4-BE49-F238E27FC236}">
              <a16:creationId xmlns:a16="http://schemas.microsoft.com/office/drawing/2014/main" id="{FA13F56C-CA09-4CEB-9C93-AD9D8D641B4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29" name="Text Box 12">
          <a:extLst>
            <a:ext uri="{FF2B5EF4-FFF2-40B4-BE49-F238E27FC236}">
              <a16:creationId xmlns:a16="http://schemas.microsoft.com/office/drawing/2014/main" id="{F5235F7B-6FCF-4EBF-9C3C-178D4B5033B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30" name="Text Box 12">
          <a:extLst>
            <a:ext uri="{FF2B5EF4-FFF2-40B4-BE49-F238E27FC236}">
              <a16:creationId xmlns:a16="http://schemas.microsoft.com/office/drawing/2014/main" id="{44C8AC0A-BFB4-4B02-A91C-89FF41A1213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31" name="Text Box 12">
          <a:extLst>
            <a:ext uri="{FF2B5EF4-FFF2-40B4-BE49-F238E27FC236}">
              <a16:creationId xmlns:a16="http://schemas.microsoft.com/office/drawing/2014/main" id="{64A9BD93-530B-455E-A0EE-53ACAC62085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32" name="Text Box 12">
          <a:extLst>
            <a:ext uri="{FF2B5EF4-FFF2-40B4-BE49-F238E27FC236}">
              <a16:creationId xmlns:a16="http://schemas.microsoft.com/office/drawing/2014/main" id="{D8F5637F-3696-4610-BEFE-B4326229F2D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33" name="Text Box 12">
          <a:extLst>
            <a:ext uri="{FF2B5EF4-FFF2-40B4-BE49-F238E27FC236}">
              <a16:creationId xmlns:a16="http://schemas.microsoft.com/office/drawing/2014/main" id="{A14812E4-6CE3-4FB7-A346-C70251726F1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34" name="Text Box 12">
          <a:extLst>
            <a:ext uri="{FF2B5EF4-FFF2-40B4-BE49-F238E27FC236}">
              <a16:creationId xmlns:a16="http://schemas.microsoft.com/office/drawing/2014/main" id="{2B4538C6-606F-44F5-93D1-2CAE603B865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35" name="Text Box 12">
          <a:extLst>
            <a:ext uri="{FF2B5EF4-FFF2-40B4-BE49-F238E27FC236}">
              <a16:creationId xmlns:a16="http://schemas.microsoft.com/office/drawing/2014/main" id="{4A603F6C-B9AF-4A84-9773-981900E1A37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36" name="Text Box 12">
          <a:extLst>
            <a:ext uri="{FF2B5EF4-FFF2-40B4-BE49-F238E27FC236}">
              <a16:creationId xmlns:a16="http://schemas.microsoft.com/office/drawing/2014/main" id="{2F3E6166-6542-46E2-BFBD-D999EB71D27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37" name="Text Box 12">
          <a:extLst>
            <a:ext uri="{FF2B5EF4-FFF2-40B4-BE49-F238E27FC236}">
              <a16:creationId xmlns:a16="http://schemas.microsoft.com/office/drawing/2014/main" id="{56F428F6-A94E-420B-A463-775289A9EC7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38" name="Text Box 12">
          <a:extLst>
            <a:ext uri="{FF2B5EF4-FFF2-40B4-BE49-F238E27FC236}">
              <a16:creationId xmlns:a16="http://schemas.microsoft.com/office/drawing/2014/main" id="{0DC2742B-DED7-4547-85BB-7BFFD15EC55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39" name="Text Box 12">
          <a:extLst>
            <a:ext uri="{FF2B5EF4-FFF2-40B4-BE49-F238E27FC236}">
              <a16:creationId xmlns:a16="http://schemas.microsoft.com/office/drawing/2014/main" id="{DD90E1B0-0F44-493D-867D-2CBF6BB98902}"/>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40" name="Text Box 12">
          <a:extLst>
            <a:ext uri="{FF2B5EF4-FFF2-40B4-BE49-F238E27FC236}">
              <a16:creationId xmlns:a16="http://schemas.microsoft.com/office/drawing/2014/main" id="{DB3FA0A5-25B7-48CE-A32C-E3C0013028E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41" name="Text Box 12">
          <a:extLst>
            <a:ext uri="{FF2B5EF4-FFF2-40B4-BE49-F238E27FC236}">
              <a16:creationId xmlns:a16="http://schemas.microsoft.com/office/drawing/2014/main" id="{01AE9F15-7A30-4CF5-B9A5-5E80CE83EBE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42" name="Text Box 12">
          <a:extLst>
            <a:ext uri="{FF2B5EF4-FFF2-40B4-BE49-F238E27FC236}">
              <a16:creationId xmlns:a16="http://schemas.microsoft.com/office/drawing/2014/main" id="{AE5F9374-939D-4157-87F5-AA79D8E0E6A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43" name="Text Box 12">
          <a:extLst>
            <a:ext uri="{FF2B5EF4-FFF2-40B4-BE49-F238E27FC236}">
              <a16:creationId xmlns:a16="http://schemas.microsoft.com/office/drawing/2014/main" id="{7916D572-19F4-4AEF-80BB-4EE4B38F49A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44" name="Text Box 12">
          <a:extLst>
            <a:ext uri="{FF2B5EF4-FFF2-40B4-BE49-F238E27FC236}">
              <a16:creationId xmlns:a16="http://schemas.microsoft.com/office/drawing/2014/main" id="{06E048D5-4C11-46E3-B2B3-35FBD69A0C7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45" name="Text Box 12">
          <a:extLst>
            <a:ext uri="{FF2B5EF4-FFF2-40B4-BE49-F238E27FC236}">
              <a16:creationId xmlns:a16="http://schemas.microsoft.com/office/drawing/2014/main" id="{E4E8B6A7-81C8-411D-A1BB-4F3854C3CF5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46" name="Text Box 12">
          <a:extLst>
            <a:ext uri="{FF2B5EF4-FFF2-40B4-BE49-F238E27FC236}">
              <a16:creationId xmlns:a16="http://schemas.microsoft.com/office/drawing/2014/main" id="{8AC7DF85-F322-44D3-BB67-B12603A50A5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47" name="Text Box 12">
          <a:extLst>
            <a:ext uri="{FF2B5EF4-FFF2-40B4-BE49-F238E27FC236}">
              <a16:creationId xmlns:a16="http://schemas.microsoft.com/office/drawing/2014/main" id="{9A2FF6AF-44F0-41C4-90CA-8955D232BB85}"/>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48" name="Text Box 12">
          <a:extLst>
            <a:ext uri="{FF2B5EF4-FFF2-40B4-BE49-F238E27FC236}">
              <a16:creationId xmlns:a16="http://schemas.microsoft.com/office/drawing/2014/main" id="{D1630C21-74B2-4A2C-AAC4-BB801B8DBF9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49" name="Text Box 12">
          <a:extLst>
            <a:ext uri="{FF2B5EF4-FFF2-40B4-BE49-F238E27FC236}">
              <a16:creationId xmlns:a16="http://schemas.microsoft.com/office/drawing/2014/main" id="{E5286E64-5992-4A16-AFFF-FCC8CC57808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50" name="Text Box 12">
          <a:extLst>
            <a:ext uri="{FF2B5EF4-FFF2-40B4-BE49-F238E27FC236}">
              <a16:creationId xmlns:a16="http://schemas.microsoft.com/office/drawing/2014/main" id="{685BDDA7-912C-49F9-9A05-FA6BF9C932B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51" name="Text Box 12">
          <a:extLst>
            <a:ext uri="{FF2B5EF4-FFF2-40B4-BE49-F238E27FC236}">
              <a16:creationId xmlns:a16="http://schemas.microsoft.com/office/drawing/2014/main" id="{A01D316C-4261-4488-9172-86D878D5444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52" name="Text Box 12">
          <a:extLst>
            <a:ext uri="{FF2B5EF4-FFF2-40B4-BE49-F238E27FC236}">
              <a16:creationId xmlns:a16="http://schemas.microsoft.com/office/drawing/2014/main" id="{BF1E816C-20C3-434E-AC2E-55775D42212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53" name="Text Box 12">
          <a:extLst>
            <a:ext uri="{FF2B5EF4-FFF2-40B4-BE49-F238E27FC236}">
              <a16:creationId xmlns:a16="http://schemas.microsoft.com/office/drawing/2014/main" id="{E5378C50-B241-4CA3-B66E-A907DF72605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54" name="Text Box 12">
          <a:extLst>
            <a:ext uri="{FF2B5EF4-FFF2-40B4-BE49-F238E27FC236}">
              <a16:creationId xmlns:a16="http://schemas.microsoft.com/office/drawing/2014/main" id="{5D4AD186-29DD-4443-83D6-EBE2A223B90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55" name="Text Box 12">
          <a:extLst>
            <a:ext uri="{FF2B5EF4-FFF2-40B4-BE49-F238E27FC236}">
              <a16:creationId xmlns:a16="http://schemas.microsoft.com/office/drawing/2014/main" id="{6406CD19-D5A6-4561-A772-5E04B9D3DB8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56" name="Text Box 12">
          <a:extLst>
            <a:ext uri="{FF2B5EF4-FFF2-40B4-BE49-F238E27FC236}">
              <a16:creationId xmlns:a16="http://schemas.microsoft.com/office/drawing/2014/main" id="{5F7EEBD9-EE61-427B-A557-261C0D0C3F6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57" name="Text Box 12">
          <a:extLst>
            <a:ext uri="{FF2B5EF4-FFF2-40B4-BE49-F238E27FC236}">
              <a16:creationId xmlns:a16="http://schemas.microsoft.com/office/drawing/2014/main" id="{B5222211-356E-4328-BA0A-9D99994B5FCB}"/>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58" name="Text Box 12">
          <a:extLst>
            <a:ext uri="{FF2B5EF4-FFF2-40B4-BE49-F238E27FC236}">
              <a16:creationId xmlns:a16="http://schemas.microsoft.com/office/drawing/2014/main" id="{A0C6916B-7EE5-42E8-89DF-ACE6BD6411E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59" name="Text Box 12">
          <a:extLst>
            <a:ext uri="{FF2B5EF4-FFF2-40B4-BE49-F238E27FC236}">
              <a16:creationId xmlns:a16="http://schemas.microsoft.com/office/drawing/2014/main" id="{8C3C8F15-6D01-4F4E-A07D-52C76DF3AA0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60" name="Text Box 12">
          <a:extLst>
            <a:ext uri="{FF2B5EF4-FFF2-40B4-BE49-F238E27FC236}">
              <a16:creationId xmlns:a16="http://schemas.microsoft.com/office/drawing/2014/main" id="{F3FEF1D7-993A-42FA-9D95-9744B4B7C2E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61" name="Text Box 12">
          <a:extLst>
            <a:ext uri="{FF2B5EF4-FFF2-40B4-BE49-F238E27FC236}">
              <a16:creationId xmlns:a16="http://schemas.microsoft.com/office/drawing/2014/main" id="{977BBAB3-8261-4D7B-85C3-89B6D8B1B55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62" name="Text Box 12">
          <a:extLst>
            <a:ext uri="{FF2B5EF4-FFF2-40B4-BE49-F238E27FC236}">
              <a16:creationId xmlns:a16="http://schemas.microsoft.com/office/drawing/2014/main" id="{9554344A-1751-41A1-BBD4-05F07A986991}"/>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63" name="Text Box 12">
          <a:extLst>
            <a:ext uri="{FF2B5EF4-FFF2-40B4-BE49-F238E27FC236}">
              <a16:creationId xmlns:a16="http://schemas.microsoft.com/office/drawing/2014/main" id="{59E5533C-1B9F-4B1F-85C3-3AA9D03A6756}"/>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64" name="Text Box 12">
          <a:extLst>
            <a:ext uri="{FF2B5EF4-FFF2-40B4-BE49-F238E27FC236}">
              <a16:creationId xmlns:a16="http://schemas.microsoft.com/office/drawing/2014/main" id="{8D3AA2FC-0750-40AC-828D-3897F1A113C7}"/>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65" name="Text Box 12">
          <a:extLst>
            <a:ext uri="{FF2B5EF4-FFF2-40B4-BE49-F238E27FC236}">
              <a16:creationId xmlns:a16="http://schemas.microsoft.com/office/drawing/2014/main" id="{C44BEEEC-21C6-4A90-9440-2D7D83206B1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66" name="Text Box 12">
          <a:extLst>
            <a:ext uri="{FF2B5EF4-FFF2-40B4-BE49-F238E27FC236}">
              <a16:creationId xmlns:a16="http://schemas.microsoft.com/office/drawing/2014/main" id="{69F0FA7E-2E52-482D-8EB3-DB808749AA4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67" name="Text Box 12">
          <a:extLst>
            <a:ext uri="{FF2B5EF4-FFF2-40B4-BE49-F238E27FC236}">
              <a16:creationId xmlns:a16="http://schemas.microsoft.com/office/drawing/2014/main" id="{B0A7FEC5-337D-4400-89AF-7143B200786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68" name="Text Box 12">
          <a:extLst>
            <a:ext uri="{FF2B5EF4-FFF2-40B4-BE49-F238E27FC236}">
              <a16:creationId xmlns:a16="http://schemas.microsoft.com/office/drawing/2014/main" id="{F35EAB67-B76D-4CCE-A45D-55D8A872DA4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69" name="Text Box 12">
          <a:extLst>
            <a:ext uri="{FF2B5EF4-FFF2-40B4-BE49-F238E27FC236}">
              <a16:creationId xmlns:a16="http://schemas.microsoft.com/office/drawing/2014/main" id="{C1C66849-2952-48C6-A44F-3074D020C65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70" name="Text Box 12">
          <a:extLst>
            <a:ext uri="{FF2B5EF4-FFF2-40B4-BE49-F238E27FC236}">
              <a16:creationId xmlns:a16="http://schemas.microsoft.com/office/drawing/2014/main" id="{EAF1FD2A-75A5-444C-B436-78855AFC761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71" name="Text Box 12">
          <a:extLst>
            <a:ext uri="{FF2B5EF4-FFF2-40B4-BE49-F238E27FC236}">
              <a16:creationId xmlns:a16="http://schemas.microsoft.com/office/drawing/2014/main" id="{7E9C5A8E-5FC4-42DC-A299-8A0B77E996F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72" name="Text Box 12">
          <a:extLst>
            <a:ext uri="{FF2B5EF4-FFF2-40B4-BE49-F238E27FC236}">
              <a16:creationId xmlns:a16="http://schemas.microsoft.com/office/drawing/2014/main" id="{20DC6EC5-8ED1-4F2A-95E5-29F7381DBC5F}"/>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73" name="Text Box 1">
          <a:extLst>
            <a:ext uri="{FF2B5EF4-FFF2-40B4-BE49-F238E27FC236}">
              <a16:creationId xmlns:a16="http://schemas.microsoft.com/office/drawing/2014/main" id="{22DF86B2-3838-4123-A5DD-2ED04117F00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74" name="Text Box 1">
          <a:extLst>
            <a:ext uri="{FF2B5EF4-FFF2-40B4-BE49-F238E27FC236}">
              <a16:creationId xmlns:a16="http://schemas.microsoft.com/office/drawing/2014/main" id="{5EACC198-4685-4E80-A6EF-08A6403EA714}"/>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75" name="Text Box 1">
          <a:extLst>
            <a:ext uri="{FF2B5EF4-FFF2-40B4-BE49-F238E27FC236}">
              <a16:creationId xmlns:a16="http://schemas.microsoft.com/office/drawing/2014/main" id="{2BFB0BF3-2FE7-4D25-876D-520C5E6F0A8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76" name="Text Box 1">
          <a:extLst>
            <a:ext uri="{FF2B5EF4-FFF2-40B4-BE49-F238E27FC236}">
              <a16:creationId xmlns:a16="http://schemas.microsoft.com/office/drawing/2014/main" id="{CFB1D773-3A66-4FFA-B874-D0FE034AF628}"/>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77" name="Text Box 1">
          <a:extLst>
            <a:ext uri="{FF2B5EF4-FFF2-40B4-BE49-F238E27FC236}">
              <a16:creationId xmlns:a16="http://schemas.microsoft.com/office/drawing/2014/main" id="{D511B1FF-A4F6-477F-8750-9DC10D88E98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78" name="Text Box 1">
          <a:extLst>
            <a:ext uri="{FF2B5EF4-FFF2-40B4-BE49-F238E27FC236}">
              <a16:creationId xmlns:a16="http://schemas.microsoft.com/office/drawing/2014/main" id="{5F2FBCCA-A350-4FD0-8F50-FEC326A30DDC}"/>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79" name="Text Box 1">
          <a:extLst>
            <a:ext uri="{FF2B5EF4-FFF2-40B4-BE49-F238E27FC236}">
              <a16:creationId xmlns:a16="http://schemas.microsoft.com/office/drawing/2014/main" id="{6E623BF6-9DE5-40D4-99A4-541C6ECF9ECE}"/>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80" name="Text Box 1">
          <a:extLst>
            <a:ext uri="{FF2B5EF4-FFF2-40B4-BE49-F238E27FC236}">
              <a16:creationId xmlns:a16="http://schemas.microsoft.com/office/drawing/2014/main" id="{1D83915B-745E-4E18-8273-23A954898431}"/>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81" name="Text Box 1">
          <a:extLst>
            <a:ext uri="{FF2B5EF4-FFF2-40B4-BE49-F238E27FC236}">
              <a16:creationId xmlns:a16="http://schemas.microsoft.com/office/drawing/2014/main" id="{6D1F9D6A-ED88-47C8-BEDC-DD6B0DC4BB13}"/>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82" name="Text Box 1">
          <a:extLst>
            <a:ext uri="{FF2B5EF4-FFF2-40B4-BE49-F238E27FC236}">
              <a16:creationId xmlns:a16="http://schemas.microsoft.com/office/drawing/2014/main" id="{148AA91A-3490-4D6B-8082-8142F394B0B9}"/>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83" name="Text Box 12">
          <a:extLst>
            <a:ext uri="{FF2B5EF4-FFF2-40B4-BE49-F238E27FC236}">
              <a16:creationId xmlns:a16="http://schemas.microsoft.com/office/drawing/2014/main" id="{F7610296-D009-4218-B202-4B8E028449CD}"/>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84" name="Text Box 12">
          <a:extLst>
            <a:ext uri="{FF2B5EF4-FFF2-40B4-BE49-F238E27FC236}">
              <a16:creationId xmlns:a16="http://schemas.microsoft.com/office/drawing/2014/main" id="{2C31FD3E-8565-4CC0-8366-61BC3792532A}"/>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121</xdr:row>
      <xdr:rowOff>0</xdr:rowOff>
    </xdr:from>
    <xdr:ext cx="76200" cy="202622"/>
    <xdr:sp macro="" textlink="">
      <xdr:nvSpPr>
        <xdr:cNvPr id="285" name="Text Box 12">
          <a:extLst>
            <a:ext uri="{FF2B5EF4-FFF2-40B4-BE49-F238E27FC236}">
              <a16:creationId xmlns:a16="http://schemas.microsoft.com/office/drawing/2014/main" id="{E0FA4E32-A65E-4581-8739-70DB46109FD0}"/>
            </a:ext>
          </a:extLst>
        </xdr:cNvPr>
        <xdr:cNvSpPr txBox="1">
          <a:spLocks noChangeArrowheads="1"/>
        </xdr:cNvSpPr>
      </xdr:nvSpPr>
      <xdr:spPr bwMode="auto">
        <a:xfrm>
          <a:off x="10791825" y="51054000"/>
          <a:ext cx="76200" cy="202622"/>
        </a:xfrm>
        <a:prstGeom prst="rect">
          <a:avLst/>
        </a:prstGeom>
        <a:noFill/>
        <a:ln w="9525">
          <a:noFill/>
          <a:miter lim="800000"/>
          <a:headEnd/>
          <a:tailEnd/>
        </a:ln>
      </xdr:spPr>
    </xdr:sp>
    <xdr:clientData/>
  </xdr:oneCellAnchor>
  <xdr:oneCellAnchor>
    <xdr:from>
      <xdr:col>9</xdr:col>
      <xdr:colOff>0</xdr:colOff>
      <xdr:row>118</xdr:row>
      <xdr:rowOff>0</xdr:rowOff>
    </xdr:from>
    <xdr:ext cx="76200" cy="200025"/>
    <xdr:sp macro="" textlink="">
      <xdr:nvSpPr>
        <xdr:cNvPr id="286" name="Text Box 4">
          <a:extLst>
            <a:ext uri="{FF2B5EF4-FFF2-40B4-BE49-F238E27FC236}">
              <a16:creationId xmlns:a16="http://schemas.microsoft.com/office/drawing/2014/main" id="{2F27FF4B-78B2-48E8-9D3E-7488D6A622E6}"/>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oneCellAnchor>
    <xdr:from>
      <xdr:col>9</xdr:col>
      <xdr:colOff>0</xdr:colOff>
      <xdr:row>118</xdr:row>
      <xdr:rowOff>0</xdr:rowOff>
    </xdr:from>
    <xdr:ext cx="76200" cy="200025"/>
    <xdr:sp macro="" textlink="">
      <xdr:nvSpPr>
        <xdr:cNvPr id="287" name="Text Box 11">
          <a:extLst>
            <a:ext uri="{FF2B5EF4-FFF2-40B4-BE49-F238E27FC236}">
              <a16:creationId xmlns:a16="http://schemas.microsoft.com/office/drawing/2014/main" id="{6F92C6DE-3FC5-429D-8506-87F9DA67885E}"/>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oneCellAnchor>
    <xdr:from>
      <xdr:col>9</xdr:col>
      <xdr:colOff>0</xdr:colOff>
      <xdr:row>118</xdr:row>
      <xdr:rowOff>0</xdr:rowOff>
    </xdr:from>
    <xdr:ext cx="76200" cy="200025"/>
    <xdr:sp macro="" textlink="">
      <xdr:nvSpPr>
        <xdr:cNvPr id="288" name="Text Box 1">
          <a:extLst>
            <a:ext uri="{FF2B5EF4-FFF2-40B4-BE49-F238E27FC236}">
              <a16:creationId xmlns:a16="http://schemas.microsoft.com/office/drawing/2014/main" id="{B43620C6-4342-4EE1-B176-8ED21802D150}"/>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oneCellAnchor>
    <xdr:from>
      <xdr:col>9</xdr:col>
      <xdr:colOff>0</xdr:colOff>
      <xdr:row>118</xdr:row>
      <xdr:rowOff>0</xdr:rowOff>
    </xdr:from>
    <xdr:ext cx="76200" cy="200025"/>
    <xdr:sp macro="" textlink="">
      <xdr:nvSpPr>
        <xdr:cNvPr id="289" name="Text Box 1">
          <a:extLst>
            <a:ext uri="{FF2B5EF4-FFF2-40B4-BE49-F238E27FC236}">
              <a16:creationId xmlns:a16="http://schemas.microsoft.com/office/drawing/2014/main" id="{A6D3A430-6316-4224-B4E5-7807AA1FBC5A}"/>
            </a:ext>
          </a:extLst>
        </xdr:cNvPr>
        <xdr:cNvSpPr txBox="1">
          <a:spLocks noChangeArrowheads="1"/>
        </xdr:cNvSpPr>
      </xdr:nvSpPr>
      <xdr:spPr bwMode="auto">
        <a:xfrm>
          <a:off x="10791825" y="50482500"/>
          <a:ext cx="76200" cy="20002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202407</xdr:colOff>
      <xdr:row>330</xdr:row>
      <xdr:rowOff>71438</xdr:rowOff>
    </xdr:from>
    <xdr:to>
      <xdr:col>12</xdr:col>
      <xdr:colOff>310680</xdr:colOff>
      <xdr:row>340</xdr:row>
      <xdr:rowOff>107157</xdr:rowOff>
    </xdr:to>
    <xdr:pic>
      <xdr:nvPicPr>
        <xdr:cNvPr id="2" name="Picture 1">
          <a:extLst>
            <a:ext uri="{FF2B5EF4-FFF2-40B4-BE49-F238E27FC236}">
              <a16:creationId xmlns:a16="http://schemas.microsoft.com/office/drawing/2014/main" id="{4AE94F42-B9BA-4E1D-8F58-4928971DEB1F}"/>
            </a:ext>
          </a:extLst>
        </xdr:cNvPr>
        <xdr:cNvPicPr>
          <a:picLocks noChangeAspect="1"/>
        </xdr:cNvPicPr>
      </xdr:nvPicPr>
      <xdr:blipFill>
        <a:blip xmlns:r="http://schemas.openxmlformats.org/officeDocument/2006/relationships" r:embed="rId1"/>
        <a:stretch>
          <a:fillRect/>
        </a:stretch>
      </xdr:blipFill>
      <xdr:spPr>
        <a:xfrm>
          <a:off x="202407" y="55316438"/>
          <a:ext cx="8071173" cy="1940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d-sum\ar2004\desktop\My%202003\2003\Ar2002\2000IF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dserver\Na\Dammika\N.A%20Data\GDP%20data%20ar2004.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ERD_TRADE/Annual%20Reports/Annual%20Economic%20Review%202023/Appendix%20Web%20Uploaad/Trade%20Data%20master%20USD%202010-2015.xls" TargetMode="External"/><Relationship Id="rId2" Type="http://schemas.openxmlformats.org/officeDocument/2006/relationships/externalLinkPath" Target="file:///\\datastore-a\erd$\ERD_TRADE\Annual%20Reports\Annual%20Economic%20Review%202023\Appendix%20Web%20Uploaad\Trade%20Data%20master%20USD%202010-2015.xls" TargetMode="External"/><Relationship Id="rId1" Type="http://schemas.openxmlformats.org/officeDocument/2006/relationships/externalLinkPath" Target="/ERD_TRADE/Annual%20Reports/Annual%20Economic%20Review%202023/Appendix%20Web%20Uploaad/Trade%20Data%20master%20USD%202010-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rd-archive\DIV-Industry\Industry%20Division%20-%202012\Industry-Annual%20Report%20work\Appendix%20Tables\Appendix%20tables-Industry%20(for%20AR%20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store-a\Users\Admin\AppData\Local\Microsoft\Windows\Temporary%20Internet%20Files\Content.Outlook\JAM8CDN8\7177eb2b89124_5241DI_2012.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Erd-sum/ar2004/desktop/My%202003/2003/Ar2002/2000IF2.XLS" TargetMode="External"/><Relationship Id="rId1" Type="http://schemas.openxmlformats.org/officeDocument/2006/relationships/externalLinkPath" Target="/Erd-sum/ar2004/desktop/My%202003/2003/Ar2002/2000IF2.XLS"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Copy%20of%20external_sector_Bulletin_IF.xlsx" TargetMode="External"/><Relationship Id="rId2" Type="http://schemas.openxmlformats.org/officeDocument/2006/relationships/externalLinkPath" Target="file:///\\datastore-a\erd$\ERD_ADMINISTRATION\1830-Wathugala\Monthly%20Belletin\2026\Copy%20of%20external_sector_Bulletin_IF.xlsx" TargetMode="External"/><Relationship Id="rId1" Type="http://schemas.openxmlformats.org/officeDocument/2006/relationships/externalLinkPath" Target="/ERD_ADMINISTRATION/1830-Wathugala/Monthly%20Belletin/2026/Copy%20of%20external_sector_Bulletin_IF.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rd-archive\Users\Admin\AppData\Local\Microsoft\Windows\Temporary%20Internet%20Files\Content.Outlook\JAM8CDN8\7177eb2b89124_5241DI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44 NSFR"/>
    </sheetNames>
    <sheetDataSet>
      <sheetData sheetId="0">
        <row r="8">
          <cell r="C8" t="str">
            <v xml:space="preserve">                                 CBSL Weights</v>
          </cell>
          <cell r="E8" t="str">
            <v xml:space="preserve">                                 CBSL Weights</v>
          </cell>
        </row>
        <row r="9">
          <cell r="B9" t="str">
            <v xml:space="preserve"> Period</v>
          </cell>
          <cell r="C9" t="str">
            <v>NEERTP</v>
          </cell>
          <cell r="D9" t="str">
            <v>NEERCOMP.</v>
          </cell>
          <cell r="E9" t="str">
            <v>REERTP</v>
          </cell>
          <cell r="F9" t="str">
            <v xml:space="preserve"> REERCOM.</v>
          </cell>
        </row>
        <row r="11">
          <cell r="B11" t="str">
            <v>DEC 1988</v>
          </cell>
          <cell r="C11">
            <v>148.04400724001763</v>
          </cell>
          <cell r="D11">
            <v>128.5405637594871</v>
          </cell>
          <cell r="E11">
            <v>98.479881882128467</v>
          </cell>
          <cell r="F11">
            <v>98.377953018831462</v>
          </cell>
        </row>
        <row r="12">
          <cell r="B12" t="str">
            <v>JAN 1989</v>
          </cell>
          <cell r="C12">
            <v>149.46890559531408</v>
          </cell>
          <cell r="D12">
            <v>128.0592929898813</v>
          </cell>
          <cell r="E12">
            <v>97.920339324506472</v>
          </cell>
          <cell r="F12">
            <v>96.480115499973962</v>
          </cell>
        </row>
        <row r="13">
          <cell r="B13" t="str">
            <v>FEB 1989</v>
          </cell>
          <cell r="C13">
            <v>150.12514367653412</v>
          </cell>
          <cell r="D13">
            <v>128.09869538230274</v>
          </cell>
          <cell r="E13">
            <v>97.206908145403872</v>
          </cell>
          <cell r="F13">
            <v>95.309194690802897</v>
          </cell>
        </row>
        <row r="14">
          <cell r="B14" t="str">
            <v>MAR 1989</v>
          </cell>
          <cell r="C14">
            <v>149.73245451055308</v>
          </cell>
          <cell r="D14">
            <v>127.3119361097873</v>
          </cell>
          <cell r="E14">
            <v>97.391938870391769</v>
          </cell>
          <cell r="F14">
            <v>95.094220984241929</v>
          </cell>
        </row>
        <row r="15">
          <cell r="B15" t="str">
            <v>APR 1989</v>
          </cell>
          <cell r="C15">
            <v>147.43210485164562</v>
          </cell>
          <cell r="D15">
            <v>124.99934062016017</v>
          </cell>
          <cell r="E15">
            <v>96.143835462370802</v>
          </cell>
          <cell r="F15">
            <v>93.756987280824461</v>
          </cell>
        </row>
        <row r="16">
          <cell r="B16" t="str">
            <v>MAY 1989</v>
          </cell>
          <cell r="C16">
            <v>149.28319316522214</v>
          </cell>
          <cell r="D16">
            <v>124.49524296424815</v>
          </cell>
          <cell r="E16">
            <v>97.779305639300361</v>
          </cell>
          <cell r="F16">
            <v>93.490709143786617</v>
          </cell>
        </row>
        <row r="17">
          <cell r="B17" t="str">
            <v>JUN 1989</v>
          </cell>
          <cell r="C17">
            <v>150.69245175576174</v>
          </cell>
          <cell r="D17">
            <v>124.73536706150109</v>
          </cell>
          <cell r="E17">
            <v>100.46710161885659</v>
          </cell>
          <cell r="F17">
            <v>95.155853176279081</v>
          </cell>
        </row>
        <row r="18">
          <cell r="B18" t="str">
            <v>JUL 1989</v>
          </cell>
          <cell r="C18">
            <v>146.45912155803134</v>
          </cell>
          <cell r="D18">
            <v>122.89372893303489</v>
          </cell>
          <cell r="E18">
            <v>97.450264091222223</v>
          </cell>
          <cell r="F18">
            <v>93.339575069744185</v>
          </cell>
        </row>
        <row r="19">
          <cell r="B19" t="str">
            <v>AUG 1989</v>
          </cell>
          <cell r="C19">
            <v>140.97767361993323</v>
          </cell>
          <cell r="D19">
            <v>117.96491287598106</v>
          </cell>
          <cell r="E19">
            <v>95.758467129650256</v>
          </cell>
          <cell r="F19">
            <v>91.214262635466739</v>
          </cell>
        </row>
        <row r="20">
          <cell r="B20" t="str">
            <v>SEP 1989</v>
          </cell>
          <cell r="C20">
            <v>130.7236680723955</v>
          </cell>
          <cell r="D20">
            <v>108.874908408089</v>
          </cell>
          <cell r="E20">
            <v>89.062788279954972</v>
          </cell>
          <cell r="F20">
            <v>84.410126714524367</v>
          </cell>
        </row>
        <row r="21">
          <cell r="B21" t="str">
            <v>OCT 1989</v>
          </cell>
          <cell r="C21">
            <v>127.55223098358512</v>
          </cell>
          <cell r="D21">
            <v>107.36084531021253</v>
          </cell>
          <cell r="E21">
            <v>87.445972632419242</v>
          </cell>
          <cell r="F21">
            <v>83.739823657070602</v>
          </cell>
        </row>
        <row r="22">
          <cell r="B22" t="str">
            <v>NOV 1989</v>
          </cell>
          <cell r="C22">
            <v>127.56816069186161</v>
          </cell>
          <cell r="D22">
            <v>107.74551689126466</v>
          </cell>
          <cell r="E22">
            <v>89.281555749395167</v>
          </cell>
          <cell r="F22">
            <v>85.630410583416818</v>
          </cell>
        </row>
        <row r="23">
          <cell r="B23" t="str">
            <v>DEC 1989</v>
          </cell>
          <cell r="C23">
            <v>126.19295395601041</v>
          </cell>
          <cell r="D23">
            <v>107.47790736450287</v>
          </cell>
          <cell r="E23">
            <v>91.547100782263968</v>
          </cell>
          <cell r="F23">
            <v>88.615642959459151</v>
          </cell>
        </row>
        <row r="24">
          <cell r="B24" t="str">
            <v>JAN 1990</v>
          </cell>
          <cell r="C24">
            <v>126.1586793824255</v>
          </cell>
          <cell r="D24">
            <v>109.29136865783538</v>
          </cell>
          <cell r="E24">
            <v>93.162759184828715</v>
          </cell>
          <cell r="F24">
            <v>91.826865802535835</v>
          </cell>
        </row>
        <row r="25">
          <cell r="B25" t="str">
            <v>FEB 1990</v>
          </cell>
          <cell r="C25">
            <v>125.56402124183427</v>
          </cell>
          <cell r="D25">
            <v>109.38664457517466</v>
          </cell>
          <cell r="E25">
            <v>93.761478192303088</v>
          </cell>
          <cell r="F25">
            <v>92.903977465023686</v>
          </cell>
        </row>
        <row r="26">
          <cell r="B26" t="str">
            <v>MAR 1990</v>
          </cell>
          <cell r="C26">
            <v>127.28042815666674</v>
          </cell>
          <cell r="D26">
            <v>110.05926662992871</v>
          </cell>
          <cell r="E26">
            <v>95.618067958756626</v>
          </cell>
          <cell r="F26">
            <v>93.974625474078024</v>
          </cell>
        </row>
        <row r="27">
          <cell r="B27" t="str">
            <v>APR 1990</v>
          </cell>
          <cell r="C27">
            <v>127.57734972938783</v>
          </cell>
          <cell r="D27">
            <v>110.57647005544773</v>
          </cell>
          <cell r="E27">
            <v>96.309025070312728</v>
          </cell>
          <cell r="F27">
            <v>94.681534906289798</v>
          </cell>
        </row>
        <row r="28">
          <cell r="B28" t="str">
            <v>MAY 1990</v>
          </cell>
          <cell r="C28">
            <v>126.66307974639147</v>
          </cell>
          <cell r="D28">
            <v>110.78504955712263</v>
          </cell>
          <cell r="E28">
            <v>96.888380547505193</v>
          </cell>
          <cell r="F28">
            <v>96.148597942304079</v>
          </cell>
        </row>
        <row r="29">
          <cell r="B29" t="str">
            <v>JUN 1990</v>
          </cell>
          <cell r="C29">
            <v>126.91747256727517</v>
          </cell>
          <cell r="D29">
            <v>111.2381684272991</v>
          </cell>
          <cell r="E29">
            <v>97.979698986521555</v>
          </cell>
          <cell r="F29">
            <v>97.057588987367083</v>
          </cell>
        </row>
        <row r="30">
          <cell r="B30" t="str">
            <v>JUL 1990</v>
          </cell>
          <cell r="C30">
            <v>125.08772674003028</v>
          </cell>
          <cell r="D30">
            <v>110.86803473262088</v>
          </cell>
          <cell r="E30">
            <v>97.585113623000623</v>
          </cell>
          <cell r="F30">
            <v>97.574536630473119</v>
          </cell>
        </row>
        <row r="31">
          <cell r="B31" t="str">
            <v>AUG 1990</v>
          </cell>
          <cell r="C31">
            <v>123.299670444909</v>
          </cell>
          <cell r="D31">
            <v>110.73093941836449</v>
          </cell>
          <cell r="E31">
            <v>95.433708388860467</v>
          </cell>
          <cell r="F31">
            <v>96.863519756810391</v>
          </cell>
        </row>
        <row r="32">
          <cell r="B32" t="str">
            <v>SEP 1990</v>
          </cell>
          <cell r="C32">
            <v>123.03862673944532</v>
          </cell>
          <cell r="D32">
            <v>111.23215139325248</v>
          </cell>
          <cell r="E32">
            <v>95.06332778853988</v>
          </cell>
          <cell r="F32">
            <v>97.273938156207009</v>
          </cell>
        </row>
        <row r="33">
          <cell r="B33" t="str">
            <v>OCT 1990</v>
          </cell>
          <cell r="C33">
            <v>120.12855431218804</v>
          </cell>
          <cell r="D33">
            <v>110.20970556830787</v>
          </cell>
          <cell r="E33">
            <v>92.346504502424111</v>
          </cell>
          <cell r="F33">
            <v>95.90177460662575</v>
          </cell>
        </row>
        <row r="34">
          <cell r="B34" t="str">
            <v>NOV 1990</v>
          </cell>
          <cell r="C34">
            <v>119.48530923880872</v>
          </cell>
          <cell r="D34">
            <v>110.3589462619797</v>
          </cell>
          <cell r="E34">
            <v>95.704797983352051</v>
          </cell>
          <cell r="F34">
            <v>99.697692242633025</v>
          </cell>
        </row>
        <row r="35">
          <cell r="B35" t="str">
            <v>DEC 1990</v>
          </cell>
          <cell r="C35">
            <v>120.82657901574839</v>
          </cell>
          <cell r="D35">
            <v>111.2582748694104</v>
          </cell>
          <cell r="E35">
            <v>98.474255710772113</v>
          </cell>
          <cell r="F35">
            <v>101.96308098431167</v>
          </cell>
        </row>
        <row r="36">
          <cell r="B36" t="str">
            <v>Jan91</v>
          </cell>
          <cell r="C36">
            <v>121.17098526897986</v>
          </cell>
          <cell r="D36">
            <v>111.67764637108912</v>
          </cell>
          <cell r="E36">
            <v>96.900052231345228</v>
          </cell>
          <cell r="F36">
            <v>100.32217315342744</v>
          </cell>
        </row>
        <row r="37">
          <cell r="B37" t="str">
            <v>FEB 1991</v>
          </cell>
          <cell r="C37">
            <v>119.40023554035176</v>
          </cell>
          <cell r="D37">
            <v>111.25299500385442</v>
          </cell>
          <cell r="E37">
            <v>95.119206637910935</v>
          </cell>
          <cell r="F37">
            <v>99.229808536133604</v>
          </cell>
        </row>
        <row r="38">
          <cell r="B38" t="str">
            <v>MAR 1991</v>
          </cell>
          <cell r="C38">
            <v>122.67870775467499</v>
          </cell>
          <cell r="D38">
            <v>112.07272890292064</v>
          </cell>
          <cell r="E38">
            <v>99.182211172862893</v>
          </cell>
          <cell r="F38">
            <v>101.29925501961921</v>
          </cell>
        </row>
        <row r="39">
          <cell r="B39" t="str">
            <v>APR 1991</v>
          </cell>
          <cell r="C39">
            <v>124.82502878315937</v>
          </cell>
          <cell r="D39">
            <v>112.88715530437609</v>
          </cell>
          <cell r="E39">
            <v>101.46649768390775</v>
          </cell>
          <cell r="F39">
            <v>102.49096596894687</v>
          </cell>
        </row>
        <row r="40">
          <cell r="B40" t="str">
            <v>MAY 1991</v>
          </cell>
          <cell r="C40">
            <v>125.08870573558005</v>
          </cell>
          <cell r="D40">
            <v>113.13200656855614</v>
          </cell>
          <cell r="E40">
            <v>102.65617924220003</v>
          </cell>
          <cell r="F40">
            <v>103.61489326655371</v>
          </cell>
        </row>
        <row r="41">
          <cell r="B41" t="str">
            <v>JUN 1991</v>
          </cell>
          <cell r="C41">
            <v>126.14512067502039</v>
          </cell>
          <cell r="D41">
            <v>113.10151177314469</v>
          </cell>
          <cell r="E41">
            <v>104.53774605693073</v>
          </cell>
          <cell r="F41">
            <v>104.15686740234599</v>
          </cell>
        </row>
        <row r="42">
          <cell r="B42" t="str">
            <v>JUL 1991</v>
          </cell>
          <cell r="C42">
            <v>128.01340147918052</v>
          </cell>
          <cell r="D42">
            <v>117.40544146657423</v>
          </cell>
          <cell r="E42">
            <v>105.35124764917981</v>
          </cell>
          <cell r="F42">
            <v>107.194829887794</v>
          </cell>
        </row>
        <row r="43">
          <cell r="B43" t="str">
            <v>AUG 1991</v>
          </cell>
          <cell r="C43">
            <v>125.49441633731296</v>
          </cell>
          <cell r="D43">
            <v>116.12436484870419</v>
          </cell>
          <cell r="E43">
            <v>102.74320431410881</v>
          </cell>
          <cell r="F43">
            <v>104.81063756793591</v>
          </cell>
        </row>
        <row r="44">
          <cell r="B44" t="str">
            <v>SEP 1991</v>
          </cell>
          <cell r="C44">
            <v>123.81525417083057</v>
          </cell>
          <cell r="D44">
            <v>115.5407571624682</v>
          </cell>
          <cell r="E44">
            <v>99.744684820251337</v>
          </cell>
          <cell r="F44">
            <v>102.44562414196857</v>
          </cell>
        </row>
        <row r="45">
          <cell r="B45" t="str">
            <v>OCT 1991</v>
          </cell>
          <cell r="C45">
            <v>122.71273804670466</v>
          </cell>
          <cell r="D45">
            <v>114.86952184266342</v>
          </cell>
          <cell r="E45">
            <v>99.173105971497009</v>
          </cell>
          <cell r="F45">
            <v>102.1552086187759</v>
          </cell>
        </row>
        <row r="46">
          <cell r="B46" t="str">
            <v>NOV 1991</v>
          </cell>
          <cell r="C46">
            <v>120.73885626945734</v>
          </cell>
          <cell r="D46">
            <v>114.07012459646327</v>
          </cell>
          <cell r="E46">
            <v>100.14570942909889</v>
          </cell>
          <cell r="F46">
            <v>104.11484282201292</v>
          </cell>
        </row>
        <row r="47">
          <cell r="B47" t="str">
            <v>DEC 1991</v>
          </cell>
          <cell r="C47">
            <v>118.99894563758417</v>
          </cell>
          <cell r="D47">
            <v>113.43073086865807</v>
          </cell>
          <cell r="E47">
            <v>100.31343254829149</v>
          </cell>
          <cell r="F47">
            <v>104.96127771450074</v>
          </cell>
        </row>
        <row r="48">
          <cell r="B48" t="str">
            <v>Jan1992</v>
          </cell>
          <cell r="C48">
            <v>118.24059794994247</v>
          </cell>
          <cell r="D48">
            <v>112.6802487381333</v>
          </cell>
          <cell r="E48">
            <v>101.02297783364239</v>
          </cell>
          <cell r="F48">
            <v>105.30115264380815</v>
          </cell>
        </row>
        <row r="49">
          <cell r="B49" t="str">
            <v>FEB 1992</v>
          </cell>
          <cell r="C49">
            <v>118.84261238460175</v>
          </cell>
          <cell r="D49">
            <v>112.1310948677218</v>
          </cell>
          <cell r="E49">
            <v>99.926757156475574</v>
          </cell>
          <cell r="F49">
            <v>102.99109525414214</v>
          </cell>
        </row>
        <row r="50">
          <cell r="B50" t="str">
            <v>MAR 1992</v>
          </cell>
          <cell r="C50">
            <v>120.7979561270736</v>
          </cell>
          <cell r="D50">
            <v>114.65183917986916</v>
          </cell>
          <cell r="E50">
            <v>101.75455809969964</v>
          </cell>
          <cell r="F50">
            <v>105.42080525401956</v>
          </cell>
        </row>
        <row r="51">
          <cell r="B51" t="str">
            <v>APR 1992</v>
          </cell>
          <cell r="C51">
            <v>120.05923447936782</v>
          </cell>
          <cell r="D51">
            <v>114.83988364196361</v>
          </cell>
          <cell r="E51">
            <v>102.05339372862279</v>
          </cell>
          <cell r="F51">
            <v>106.57699315880272</v>
          </cell>
        </row>
        <row r="52">
          <cell r="B52" t="str">
            <v>MAY 1992</v>
          </cell>
          <cell r="C52">
            <v>118.37722067592941</v>
          </cell>
          <cell r="D52">
            <v>113.90927838541168</v>
          </cell>
          <cell r="E52">
            <v>101.94067291093354</v>
          </cell>
          <cell r="F52">
            <v>106.86614652487764</v>
          </cell>
        </row>
        <row r="53">
          <cell r="B53" t="str">
            <v>JUN 1992</v>
          </cell>
          <cell r="C53">
            <v>116.21364343064094</v>
          </cell>
          <cell r="D53">
            <v>112.79699100887379</v>
          </cell>
          <cell r="E53">
            <v>103.29610922103826</v>
          </cell>
          <cell r="F53">
            <v>109.00854051400934</v>
          </cell>
        </row>
        <row r="54">
          <cell r="B54" t="str">
            <v>JUL 1992</v>
          </cell>
          <cell r="C54">
            <v>114.13869989116817</v>
          </cell>
          <cell r="D54">
            <v>112.26088513690087</v>
          </cell>
          <cell r="E54">
            <v>99.351499505636951</v>
          </cell>
          <cell r="F54">
            <v>105.84601444691391</v>
          </cell>
        </row>
        <row r="55">
          <cell r="B55" t="str">
            <v>AUG 1992</v>
          </cell>
          <cell r="C55">
            <v>113.20537363755027</v>
          </cell>
          <cell r="D55">
            <v>111.99393987402104</v>
          </cell>
          <cell r="E55">
            <v>97.424673936730287</v>
          </cell>
          <cell r="F55">
            <v>104.21927142889719</v>
          </cell>
        </row>
        <row r="56">
          <cell r="B56" t="str">
            <v>SEP 1992</v>
          </cell>
          <cell r="C56">
            <v>113.51157179515012</v>
          </cell>
          <cell r="D56">
            <v>111.55922835849175</v>
          </cell>
          <cell r="E56">
            <v>98.712247278083737</v>
          </cell>
          <cell r="F56">
            <v>104.87651212840538</v>
          </cell>
        </row>
        <row r="57">
          <cell r="B57" t="str">
            <v>OCT 1992</v>
          </cell>
          <cell r="C57">
            <v>114.60249359035228</v>
          </cell>
          <cell r="D57">
            <v>111.08926996126544</v>
          </cell>
          <cell r="E57">
            <v>99.863642248138135</v>
          </cell>
          <cell r="F57">
            <v>104.38341847836041</v>
          </cell>
        </row>
        <row r="58">
          <cell r="B58" t="str">
            <v>NOV 1992</v>
          </cell>
          <cell r="C58">
            <v>117.06405613824523</v>
          </cell>
          <cell r="D58">
            <v>111.13982273213675</v>
          </cell>
          <cell r="E58">
            <v>104.46390055601269</v>
          </cell>
          <cell r="F58">
            <v>107.02584360046646</v>
          </cell>
        </row>
        <row r="59">
          <cell r="B59" t="str">
            <v>DEC 1992</v>
          </cell>
          <cell r="C59">
            <v>116.29202114694445</v>
          </cell>
          <cell r="D59">
            <v>110.85827577526371</v>
          </cell>
          <cell r="E59">
            <v>107.35026015742343</v>
          </cell>
          <cell r="F59">
            <v>110.2142705195682</v>
          </cell>
        </row>
        <row r="60">
          <cell r="B60" t="str">
            <v>Jan93</v>
          </cell>
          <cell r="C60">
            <v>113.91879004614738</v>
          </cell>
          <cell r="D60">
            <v>108.07112239357325</v>
          </cell>
          <cell r="E60">
            <v>107.54796720462362</v>
          </cell>
          <cell r="F60">
            <v>109.69757495533749</v>
          </cell>
        </row>
        <row r="61">
          <cell r="B61" t="str">
            <v>FEB 1993</v>
          </cell>
          <cell r="C61">
            <v>114.9218123167016</v>
          </cell>
          <cell r="D61">
            <v>109.18531789347502</v>
          </cell>
          <cell r="E61">
            <v>107.50065789757366</v>
          </cell>
          <cell r="F61">
            <v>109.70113188782589</v>
          </cell>
        </row>
        <row r="62">
          <cell r="B62" t="str">
            <v>MAR 1993</v>
          </cell>
          <cell r="C62">
            <v>113.21256093723538</v>
          </cell>
          <cell r="D62">
            <v>107.55371248898541</v>
          </cell>
          <cell r="E62">
            <v>103.62084521065415</v>
          </cell>
          <cell r="F62">
            <v>105.56263302134406</v>
          </cell>
        </row>
        <row r="63">
          <cell r="B63" t="str">
            <v>APR 1993</v>
          </cell>
          <cell r="C63">
            <v>109.415270252319</v>
          </cell>
          <cell r="D63">
            <v>105.34024439139829</v>
          </cell>
          <cell r="E63">
            <v>98.326833428769106</v>
          </cell>
          <cell r="F63">
            <v>101.4599305679173</v>
          </cell>
        </row>
        <row r="64">
          <cell r="B64" t="str">
            <v>MAY 1993</v>
          </cell>
          <cell r="C64">
            <v>108.73989259230787</v>
          </cell>
          <cell r="D64">
            <v>104.90203187729098</v>
          </cell>
          <cell r="E64">
            <v>99.663554515917511</v>
          </cell>
          <cell r="F64">
            <v>102.83428133031296</v>
          </cell>
        </row>
        <row r="65">
          <cell r="B65" t="str">
            <v>JUN 1993</v>
          </cell>
          <cell r="C65">
            <v>108.88465614816585</v>
          </cell>
          <cell r="D65">
            <v>104.61381206783125</v>
          </cell>
          <cell r="E65">
            <v>101.83948264348888</v>
          </cell>
          <cell r="F65">
            <v>104.31022269819734</v>
          </cell>
        </row>
        <row r="66">
          <cell r="B66" t="str">
            <v>JUL 1993</v>
          </cell>
          <cell r="C66">
            <v>108.79958361323173</v>
          </cell>
          <cell r="D66">
            <v>103.92361270082228</v>
          </cell>
          <cell r="E66">
            <v>102.40888702049391</v>
          </cell>
          <cell r="F66">
            <v>104.05712766017173</v>
          </cell>
        </row>
        <row r="67">
          <cell r="B67" t="str">
            <v>AUG 1993</v>
          </cell>
          <cell r="C67">
            <v>108.17766912469878</v>
          </cell>
          <cell r="D67">
            <v>103.60678834413181</v>
          </cell>
          <cell r="E67">
            <v>101.65640613465024</v>
          </cell>
          <cell r="F67">
            <v>103.36895639968652</v>
          </cell>
        </row>
        <row r="68">
          <cell r="B68" t="str">
            <v>SEP 1993</v>
          </cell>
          <cell r="C68">
            <v>107.24525877600468</v>
          </cell>
          <cell r="D68">
            <v>103.37431060465066</v>
          </cell>
          <cell r="E68">
            <v>99.188145376255989</v>
          </cell>
          <cell r="F68">
            <v>101.12739714425871</v>
          </cell>
        </row>
        <row r="69">
          <cell r="B69" t="str">
            <v>OCT 1993</v>
          </cell>
          <cell r="C69">
            <v>107.54990955427193</v>
          </cell>
          <cell r="D69">
            <v>103.04201109276616</v>
          </cell>
          <cell r="E69">
            <v>97.209598671732763</v>
          </cell>
          <cell r="F69">
            <v>100.5137531363756</v>
          </cell>
        </row>
        <row r="70">
          <cell r="B70" t="str">
            <v>NOV 1993</v>
          </cell>
          <cell r="C70">
            <v>108.12545512411671</v>
          </cell>
          <cell r="D70">
            <v>102.89887328186957</v>
          </cell>
          <cell r="E70">
            <v>103.35721513600943</v>
          </cell>
          <cell r="F70">
            <v>103.63903139297777</v>
          </cell>
        </row>
        <row r="71">
          <cell r="B71" t="str">
            <v>DEC 1993</v>
          </cell>
          <cell r="C71">
            <v>107.87672337735674</v>
          </cell>
          <cell r="D71">
            <v>102.58956115489508</v>
          </cell>
          <cell r="E71">
            <v>105.53501105187573</v>
          </cell>
          <cell r="F71">
            <v>105.51883243935029</v>
          </cell>
        </row>
        <row r="72">
          <cell r="B72" t="str">
            <v>Jan94</v>
          </cell>
          <cell r="C72">
            <v>108.04068802609576</v>
          </cell>
          <cell r="D72">
            <v>102.54198396935845</v>
          </cell>
          <cell r="E72">
            <v>107.9685061805927</v>
          </cell>
          <cell r="F72">
            <v>107.45466014858668</v>
          </cell>
        </row>
        <row r="73">
          <cell r="B73" t="str">
            <v>FEB 1994</v>
          </cell>
          <cell r="C73">
            <v>109.28712921208967</v>
          </cell>
          <cell r="D73">
            <v>105.8350446628373</v>
          </cell>
          <cell r="E73">
            <v>109.47276034405647</v>
          </cell>
          <cell r="F73">
            <v>110.05264630643329</v>
          </cell>
        </row>
        <row r="74">
          <cell r="B74" t="str">
            <v>Mar 1994</v>
          </cell>
          <cell r="C74">
            <v>109.03773365392949</v>
          </cell>
          <cell r="D74">
            <v>106.32163413473192</v>
          </cell>
          <cell r="E74">
            <v>109.32850022471813</v>
          </cell>
          <cell r="F74">
            <v>110.65037101245971</v>
          </cell>
        </row>
        <row r="75">
          <cell r="B75" t="str">
            <v>APR 1994</v>
          </cell>
          <cell r="C75">
            <v>109.00908342649664</v>
          </cell>
          <cell r="D75">
            <v>106.09265052734013</v>
          </cell>
          <cell r="E75">
            <v>109.6940908486708</v>
          </cell>
          <cell r="F75">
            <v>110.59702062196376</v>
          </cell>
        </row>
        <row r="76">
          <cell r="B76" t="str">
            <v>MAY 1994</v>
          </cell>
          <cell r="C76">
            <v>108.190332339487</v>
          </cell>
          <cell r="D76">
            <v>105.64640372042211</v>
          </cell>
          <cell r="E76">
            <v>106.31616379303375</v>
          </cell>
          <cell r="F76">
            <v>107.22318702762917</v>
          </cell>
        </row>
        <row r="77">
          <cell r="B77" t="str">
            <v>JUN 1994</v>
          </cell>
          <cell r="C77">
            <v>107.06216542216892</v>
          </cell>
          <cell r="D77">
            <v>104.98701348826359</v>
          </cell>
          <cell r="E77">
            <v>105.02751044846988</v>
          </cell>
          <cell r="F77">
            <v>105.90945734726823</v>
          </cell>
        </row>
        <row r="78">
          <cell r="B78" t="str">
            <v>JUL 1994</v>
          </cell>
          <cell r="C78">
            <v>106.27352693574619</v>
          </cell>
          <cell r="D78">
            <v>105.35042631830613</v>
          </cell>
          <cell r="E78">
            <v>100.85397192039929</v>
          </cell>
          <cell r="F78">
            <v>102.26889597021358</v>
          </cell>
        </row>
        <row r="79">
          <cell r="B79" t="str">
            <v>AUG 1994</v>
          </cell>
          <cell r="C79">
            <v>105.79252756703264</v>
          </cell>
          <cell r="D79">
            <v>104.35222088308483</v>
          </cell>
          <cell r="E79">
            <v>101.20945755625353</v>
          </cell>
          <cell r="F79">
            <v>101.98582708278525</v>
          </cell>
        </row>
        <row r="80">
          <cell r="B80" t="str">
            <v>SEP 1994</v>
          </cell>
          <cell r="C80">
            <v>105.11087534933121</v>
          </cell>
          <cell r="D80">
            <v>103.95228595513321</v>
          </cell>
          <cell r="E80">
            <v>96.623878493596649</v>
          </cell>
          <cell r="F80">
            <v>97.389626611480679</v>
          </cell>
        </row>
        <row r="81">
          <cell r="B81" t="str">
            <v>OCT 1994</v>
          </cell>
          <cell r="C81">
            <v>104.65265195383952</v>
          </cell>
          <cell r="D81">
            <v>104.02047263334755</v>
          </cell>
          <cell r="E81">
            <v>95.211941485391861</v>
          </cell>
          <cell r="F81">
            <v>96.199690325281367</v>
          </cell>
        </row>
        <row r="82">
          <cell r="B82" t="str">
            <v>NOV 1994</v>
          </cell>
          <cell r="C82">
            <v>104.98610862727708</v>
          </cell>
          <cell r="D82">
            <v>104.0291717274893</v>
          </cell>
          <cell r="E82">
            <v>98.290597915548517</v>
          </cell>
          <cell r="F82">
            <v>98.769591482256587</v>
          </cell>
        </row>
        <row r="83">
          <cell r="B83" t="str">
            <v>DEC 1994</v>
          </cell>
          <cell r="C83">
            <v>105.00570872624937</v>
          </cell>
          <cell r="D83">
            <v>103.21491301757817</v>
          </cell>
          <cell r="E83">
            <v>102.10714918399256</v>
          </cell>
          <cell r="F83">
            <v>101.72976310463447</v>
          </cell>
        </row>
        <row r="84">
          <cell r="B84" t="str">
            <v>Jan  95</v>
          </cell>
          <cell r="C84">
            <v>103.56497618250127</v>
          </cell>
          <cell r="D84">
            <v>102.25829752718492</v>
          </cell>
          <cell r="E84">
            <v>101.03022870149749</v>
          </cell>
          <cell r="F84">
            <v>100.86344281421695</v>
          </cell>
        </row>
        <row r="85">
          <cell r="B85" t="str">
            <v>FEB 1995</v>
          </cell>
          <cell r="C85">
            <v>103.05203518417407</v>
          </cell>
          <cell r="D85">
            <v>102.04858804569439</v>
          </cell>
          <cell r="E85">
            <v>100.08537566866107</v>
          </cell>
          <cell r="F85">
            <v>100.18561148935822</v>
          </cell>
        </row>
        <row r="86">
          <cell r="B86" t="str">
            <v>MAR 1995</v>
          </cell>
          <cell r="C86">
            <v>101.54464305731736</v>
          </cell>
          <cell r="D86">
            <v>102.08906462721073</v>
          </cell>
          <cell r="E86">
            <v>96.766179328716021</v>
          </cell>
          <cell r="F86">
            <v>98.141832954998506</v>
          </cell>
        </row>
        <row r="87">
          <cell r="B87" t="str">
            <v>APR 1995</v>
          </cell>
          <cell r="C87">
            <v>100.47736299748274</v>
          </cell>
          <cell r="D87">
            <v>101.70024142629299</v>
          </cell>
          <cell r="E87">
            <v>97.515209904586484</v>
          </cell>
          <cell r="F87">
            <v>99.375792208535017</v>
          </cell>
        </row>
        <row r="88">
          <cell r="B88" t="str">
            <v>MAY 1995</v>
          </cell>
          <cell r="C88">
            <v>100.38699939467196</v>
          </cell>
          <cell r="D88">
            <v>100.83910070433674</v>
          </cell>
          <cell r="E88">
            <v>102.11420391897181</v>
          </cell>
          <cell r="F88">
            <v>103.01841891618768</v>
          </cell>
        </row>
        <row r="89">
          <cell r="B89" t="str">
            <v>JUN 1995</v>
          </cell>
          <cell r="C89">
            <v>99.62141290555239</v>
          </cell>
          <cell r="D89">
            <v>100.25286284263741</v>
          </cell>
          <cell r="E89">
            <v>102.99611378144522</v>
          </cell>
          <cell r="F89">
            <v>103.66907244393735</v>
          </cell>
        </row>
        <row r="90">
          <cell r="B90" t="str">
            <v>JUL 1995</v>
          </cell>
          <cell r="C90">
            <v>102.38046174519995</v>
          </cell>
          <cell r="D90">
            <v>99.412477414667052</v>
          </cell>
          <cell r="E90">
            <v>105.36240070707257</v>
          </cell>
          <cell r="F90">
            <v>101.89311760680376</v>
          </cell>
        </row>
        <row r="91">
          <cell r="B91" t="str">
            <v>AUG 1995</v>
          </cell>
          <cell r="C91">
            <v>99.371485464993427</v>
          </cell>
          <cell r="D91">
            <v>99.245952364985087</v>
          </cell>
          <cell r="E91">
            <v>99.242678023025491</v>
          </cell>
          <cell r="F91">
            <v>98.582512583219639</v>
          </cell>
        </row>
        <row r="92">
          <cell r="B92" t="str">
            <v>SEP 1995</v>
          </cell>
          <cell r="C92">
            <v>99.044359709944132</v>
          </cell>
          <cell r="D92">
            <v>99.02966768685431</v>
          </cell>
          <cell r="E92">
            <v>96.928765020507711</v>
          </cell>
          <cell r="F92">
            <v>96.27237944002546</v>
          </cell>
        </row>
        <row r="93">
          <cell r="B93" t="str">
            <v>OCT 1995</v>
          </cell>
          <cell r="C93">
            <v>97.83955989675556</v>
          </cell>
          <cell r="D93">
            <v>98.750079640000791</v>
          </cell>
          <cell r="E93">
            <v>97.387756386771443</v>
          </cell>
          <cell r="F93">
            <v>97.454223007582385</v>
          </cell>
        </row>
        <row r="94">
          <cell r="B94" t="str">
            <v>NOV 1995</v>
          </cell>
          <cell r="C94">
            <v>96.815001584751812</v>
          </cell>
          <cell r="D94">
            <v>97.74093644272395</v>
          </cell>
          <cell r="E94">
            <v>100.09338390372979</v>
          </cell>
          <cell r="F94">
            <v>99.969276934367684</v>
          </cell>
        </row>
        <row r="95">
          <cell r="B95" t="str">
            <v>DEC 1995</v>
          </cell>
          <cell r="C95">
            <v>96.197721223330916</v>
          </cell>
          <cell r="D95">
            <v>96.813186306593039</v>
          </cell>
          <cell r="E95">
            <v>100.85187870826685</v>
          </cell>
          <cell r="F95">
            <v>100.84360059111006</v>
          </cell>
        </row>
        <row r="96">
          <cell r="B96" t="str">
            <v>Jan96</v>
          </cell>
          <cell r="C96">
            <v>96.654955443165292</v>
          </cell>
          <cell r="D96">
            <v>96.868342425296063</v>
          </cell>
          <cell r="E96">
            <v>101.43844219779217</v>
          </cell>
          <cell r="F96">
            <v>100.8507763544972</v>
          </cell>
        </row>
        <row r="97">
          <cell r="B97" t="str">
            <v>FEB 1996</v>
          </cell>
          <cell r="C97">
            <v>97.067162001117197</v>
          </cell>
          <cell r="D97">
            <v>97.881577171750422</v>
          </cell>
          <cell r="E97">
            <v>101.95500589093595</v>
          </cell>
          <cell r="F97">
            <v>101.82874077859449</v>
          </cell>
        </row>
        <row r="98">
          <cell r="B98" t="str">
            <v>MAR 1996</v>
          </cell>
          <cell r="C98">
            <v>96.811571361179219</v>
          </cell>
          <cell r="D98">
            <v>96.697261822413012</v>
          </cell>
          <cell r="E98">
            <v>101.35879073233075</v>
          </cell>
          <cell r="F98">
            <v>100.25572117949997</v>
          </cell>
        </row>
        <row r="99">
          <cell r="B99" t="str">
            <v>APR 1996</v>
          </cell>
          <cell r="C99">
            <v>97.166544096698885</v>
          </cell>
          <cell r="D99">
            <v>96.336381282409135</v>
          </cell>
          <cell r="E99">
            <v>104.18936818706764</v>
          </cell>
          <cell r="F99">
            <v>101.99651561685474</v>
          </cell>
        </row>
        <row r="100">
          <cell r="B100" t="str">
            <v>May 1996</v>
          </cell>
          <cell r="C100">
            <v>96.672285058481364</v>
          </cell>
          <cell r="D100">
            <v>95.085121881455422</v>
          </cell>
          <cell r="E100">
            <v>108.34202118272465</v>
          </cell>
          <cell r="F100">
            <v>105.27103854038413</v>
          </cell>
        </row>
        <row r="101">
          <cell r="B101" t="str">
            <v>June 1996</v>
          </cell>
          <cell r="C101">
            <v>95.88531886116445</v>
          </cell>
          <cell r="D101">
            <v>94.781709339099137</v>
          </cell>
          <cell r="E101">
            <v>111.79829253983542</v>
          </cell>
          <cell r="F101">
            <v>108.69755271641884</v>
          </cell>
        </row>
        <row r="102">
          <cell r="B102" t="str">
            <v>July 1996</v>
          </cell>
          <cell r="C102">
            <v>95.367858599259776</v>
          </cell>
          <cell r="D102">
            <v>95.573638345726081</v>
          </cell>
          <cell r="E102">
            <v>109.90861224040228</v>
          </cell>
          <cell r="F102">
            <v>108.18300851583211</v>
          </cell>
        </row>
        <row r="103">
          <cell r="B103" t="str">
            <v>Aug 1996</v>
          </cell>
          <cell r="C103">
            <v>94.638370341984327</v>
          </cell>
          <cell r="D103">
            <v>95.192791320947975</v>
          </cell>
          <cell r="E103">
            <v>109.00405948940364</v>
          </cell>
          <cell r="F103">
            <v>107.21045047851568</v>
          </cell>
        </row>
        <row r="104">
          <cell r="B104" t="str">
            <v>Sep 1996</v>
          </cell>
          <cell r="C104">
            <v>94.314389329077642</v>
          </cell>
          <cell r="D104">
            <v>94.608541665889376</v>
          </cell>
          <cell r="E104">
            <v>108.67013620040638</v>
          </cell>
          <cell r="F104">
            <v>106.6119039903918</v>
          </cell>
        </row>
        <row r="105">
          <cell r="B105" t="str">
            <v>Oct 1996</v>
          </cell>
          <cell r="C105">
            <v>94.065596474698594</v>
          </cell>
          <cell r="D105">
            <v>94.186726850804348</v>
          </cell>
          <cell r="E105">
            <v>108.61969825589043</v>
          </cell>
          <cell r="F105">
            <v>106.41459664019477</v>
          </cell>
        </row>
        <row r="106">
          <cell r="B106" t="str">
            <v>Nov 1996</v>
          </cell>
          <cell r="C106">
            <v>93.508709934700818</v>
          </cell>
          <cell r="D106">
            <v>94.244223254409164</v>
          </cell>
          <cell r="E106">
            <v>109.00017369926663</v>
          </cell>
          <cell r="F106">
            <v>107.29757362772527</v>
          </cell>
        </row>
        <row r="107">
          <cell r="B107" t="str">
            <v>Dec 1996</v>
          </cell>
          <cell r="C107">
            <v>93.953562032884932</v>
          </cell>
          <cell r="D107">
            <v>94.342806468539649</v>
          </cell>
          <cell r="E107">
            <v>110.95208232472547</v>
          </cell>
          <cell r="F107">
            <v>108.75347941130534</v>
          </cell>
        </row>
        <row r="108">
          <cell r="B108" t="str">
            <v>Jan  1997</v>
          </cell>
          <cell r="C108">
            <v>94.914502223828009</v>
          </cell>
          <cell r="D108">
            <v>94.541662332438648</v>
          </cell>
          <cell r="E108">
            <v>112.28124534889068</v>
          </cell>
          <cell r="F108">
            <v>109.17088872419332</v>
          </cell>
        </row>
        <row r="109">
          <cell r="B109" t="str">
            <v>Feb1997</v>
          </cell>
          <cell r="C109">
            <v>94.94976729553494</v>
          </cell>
          <cell r="D109">
            <v>93.23192148407702</v>
          </cell>
          <cell r="E109">
            <v>111.37580932161649</v>
          </cell>
          <cell r="F109">
            <v>106.58503722754737</v>
          </cell>
        </row>
        <row r="110">
          <cell r="B110" t="str">
            <v>Mar1997</v>
          </cell>
          <cell r="C110">
            <v>94.93483783320525</v>
          </cell>
          <cell r="D110">
            <v>93.320932070602154</v>
          </cell>
          <cell r="E110">
            <v>110.06239675724649</v>
          </cell>
          <cell r="F110">
            <v>105.55556768531152</v>
          </cell>
        </row>
        <row r="111">
          <cell r="B111" t="str">
            <v>Apr1997</v>
          </cell>
          <cell r="C111">
            <v>94.140317195567889</v>
          </cell>
          <cell r="D111">
            <v>92.419333564059315</v>
          </cell>
          <cell r="E111">
            <v>109.00577928667666</v>
          </cell>
          <cell r="F111">
            <v>104.43185824371722</v>
          </cell>
        </row>
        <row r="112">
          <cell r="B112" t="str">
            <v>May1997</v>
          </cell>
          <cell r="C112">
            <v>92.945489610877644</v>
          </cell>
          <cell r="D112">
            <v>91.752100894518009</v>
          </cell>
          <cell r="E112">
            <v>109.17080224012004</v>
          </cell>
          <cell r="F112">
            <v>105.22709170979643</v>
          </cell>
        </row>
        <row r="113">
          <cell r="B113" t="str">
            <v>Jun1997</v>
          </cell>
          <cell r="C113">
            <v>92.455792214147152</v>
          </cell>
          <cell r="D113">
            <v>91.395066853124391</v>
          </cell>
          <cell r="E113">
            <v>108.91010701475314</v>
          </cell>
          <cell r="F113">
            <v>104.97184315036966</v>
          </cell>
        </row>
        <row r="114">
          <cell r="B114" t="str">
            <v>July 1997</v>
          </cell>
          <cell r="C114">
            <v>93.320554380943122</v>
          </cell>
          <cell r="D114">
            <v>92.901285846382848</v>
          </cell>
          <cell r="E114">
            <v>111.99352695337838</v>
          </cell>
          <cell r="F114">
            <v>108.42410844042411</v>
          </cell>
        </row>
        <row r="115">
          <cell r="B115" t="str">
            <v>Aug 1997</v>
          </cell>
          <cell r="C115">
            <v>94.646004574975464</v>
          </cell>
          <cell r="D115">
            <v>94.279055426301156</v>
          </cell>
          <cell r="E115">
            <v>113.43335309888833</v>
          </cell>
          <cell r="F115">
            <v>109.76260689810286</v>
          </cell>
        </row>
        <row r="116">
          <cell r="B116" t="str">
            <v>Sep 1997</v>
          </cell>
          <cell r="C116">
            <v>95.104415430153438</v>
          </cell>
          <cell r="D116">
            <v>96.766527562515932</v>
          </cell>
          <cell r="E116">
            <v>113.77290802370172</v>
          </cell>
          <cell r="F116">
            <v>112.39582999687052</v>
          </cell>
        </row>
        <row r="117">
          <cell r="B117" t="str">
            <v>Oct 1997</v>
          </cell>
          <cell r="C117">
            <v>94.974820438434961</v>
          </cell>
          <cell r="D117">
            <v>98.276332656121568</v>
          </cell>
          <cell r="E117">
            <v>113.43573026931267</v>
          </cell>
          <cell r="F117">
            <v>113.68633964446944</v>
          </cell>
        </row>
        <row r="118">
          <cell r="B118" t="str">
            <v>Nov 1997</v>
          </cell>
          <cell r="C118">
            <v>95.664870130176354</v>
          </cell>
          <cell r="D118">
            <v>101.77802110119754</v>
          </cell>
          <cell r="E118">
            <v>117.94288714985211</v>
          </cell>
          <cell r="F118">
            <v>121.28711873977348</v>
          </cell>
        </row>
        <row r="119">
          <cell r="B119" t="str">
            <v>Dec 1997</v>
          </cell>
          <cell r="C119">
            <v>99.657291072826283</v>
          </cell>
          <cell r="D119">
            <v>112.44367141527258</v>
          </cell>
          <cell r="E119">
            <v>126.44729405820907</v>
          </cell>
          <cell r="F119">
            <v>137.13977950776629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_Annual"/>
      <sheetName val="Annual"/>
      <sheetName val="R_Indicators"/>
      <sheetName val="R_All Qtrs"/>
      <sheetName val="R_Q 1"/>
      <sheetName val="R_Q 2"/>
      <sheetName val="R_Q 3"/>
      <sheetName val="R_Q 4"/>
      <sheetName val="R_QtrTrends"/>
      <sheetName val="R_1st Half"/>
      <sheetName val="R_Q 1+Q 2+Q 3"/>
      <sheetName val="R_2nd Half"/>
      <sheetName val="Indicators"/>
      <sheetName val="All Qtrs"/>
      <sheetName val="Q 1"/>
      <sheetName val="Q 2"/>
      <sheetName val="Q 3"/>
      <sheetName val="Q 4"/>
      <sheetName val="QtrTrends"/>
      <sheetName val="1st Half"/>
      <sheetName val="Q 1+Q 2+Q 3"/>
      <sheetName val="2nd Half"/>
      <sheetName val="Deflator"/>
      <sheetName val="BOP "/>
      <sheetName val=" FISCAL "/>
      <sheetName val="P C Exp."/>
      <sheetName val="T.T effect"/>
      <sheetName val="Exp.Tabls"/>
      <sheetName val="Agg.Demand"/>
      <sheetName val="Appendix"/>
      <sheetName val="Key Econ"/>
      <sheetName val="Text tab."/>
      <sheetName val="Charts"/>
      <sheetName val="Indus&amp;Trad"/>
      <sheetName val="CCPI"/>
      <sheetName val="SLCPI"/>
      <sheetName val="CDCPI"/>
      <sheetName val="IMF"/>
      <sheetName val="IMF-2004"/>
    </sheetNames>
    <sheetDataSet>
      <sheetData sheetId="0">
        <row r="3">
          <cell r="L3" t="str">
            <v>(Rs.Mn)</v>
          </cell>
        </row>
        <row r="4">
          <cell r="A4" t="str">
            <v xml:space="preserve">                        SECTOR</v>
          </cell>
          <cell r="B4">
            <v>1996</v>
          </cell>
          <cell r="C4">
            <v>1997</v>
          </cell>
          <cell r="D4">
            <v>1998</v>
          </cell>
          <cell r="E4">
            <v>1999</v>
          </cell>
          <cell r="F4">
            <v>2000</v>
          </cell>
          <cell r="G4">
            <v>2001</v>
          </cell>
          <cell r="H4">
            <v>2002</v>
          </cell>
          <cell r="I4" t="str">
            <v>2003(a)</v>
          </cell>
          <cell r="J4" t="str">
            <v>2004(b)</v>
          </cell>
          <cell r="K4" t="str">
            <v>2005(b)</v>
          </cell>
          <cell r="L4" t="str">
            <v>2005(c )</v>
          </cell>
        </row>
        <row r="5">
          <cell r="M5" t="str">
            <v>97/96</v>
          </cell>
          <cell r="N5" t="str">
            <v>98/97</v>
          </cell>
        </row>
        <row r="7">
          <cell r="A7" t="str">
            <v>Agriculture</v>
          </cell>
          <cell r="B7">
            <v>156108</v>
          </cell>
          <cell r="C7">
            <v>160753</v>
          </cell>
          <cell r="D7">
            <v>164804</v>
          </cell>
          <cell r="E7">
            <v>172238</v>
          </cell>
          <cell r="F7">
            <v>175317</v>
          </cell>
          <cell r="G7">
            <v>169376.83280000003</v>
          </cell>
          <cell r="H7">
            <v>173622.97322554002</v>
          </cell>
          <cell r="I7">
            <v>176449.56158525005</v>
          </cell>
          <cell r="J7">
            <v>175182.35209445556</v>
          </cell>
          <cell r="K7">
            <v>180285.3989639701</v>
          </cell>
          <cell r="L7">
            <v>172851.76507321946</v>
          </cell>
          <cell r="M7">
            <v>2.9755041381607672</v>
          </cell>
          <cell r="N7">
            <v>2.520015178565882</v>
          </cell>
        </row>
        <row r="8">
          <cell r="A8" t="str">
            <v>1.  Agriculture, forestry &amp; fishing</v>
          </cell>
          <cell r="B8">
            <v>156108</v>
          </cell>
          <cell r="C8">
            <v>160753</v>
          </cell>
          <cell r="D8">
            <v>164804</v>
          </cell>
          <cell r="E8">
            <v>172238</v>
          </cell>
          <cell r="F8">
            <v>175317</v>
          </cell>
          <cell r="G8">
            <v>169376.83280000003</v>
          </cell>
          <cell r="H8">
            <v>173622.97322554002</v>
          </cell>
          <cell r="I8">
            <v>176449.56158525005</v>
          </cell>
          <cell r="J8">
            <v>175182.35209445556</v>
          </cell>
          <cell r="K8">
            <v>180285.3989639701</v>
          </cell>
          <cell r="L8">
            <v>172851.76507321946</v>
          </cell>
          <cell r="M8">
            <v>2.9755041381607672</v>
          </cell>
          <cell r="N8">
            <v>2.520015178565882</v>
          </cell>
        </row>
        <row r="9">
          <cell r="A9" t="str">
            <v xml:space="preserve">          1.1  Agriculture</v>
          </cell>
          <cell r="B9">
            <v>122594</v>
          </cell>
          <cell r="C9">
            <v>126107</v>
          </cell>
          <cell r="D9">
            <v>128337</v>
          </cell>
          <cell r="E9">
            <v>133952</v>
          </cell>
          <cell r="F9">
            <v>136212</v>
          </cell>
          <cell r="G9">
            <v>130406.75560000002</v>
          </cell>
          <cell r="H9">
            <v>132902.65934666002</v>
          </cell>
          <cell r="I9">
            <v>137150.13506524113</v>
          </cell>
          <cell r="J9">
            <v>135296.71272425613</v>
          </cell>
          <cell r="K9">
            <v>139374.25571258337</v>
          </cell>
          <cell r="L9">
            <v>138318.77244776528</v>
          </cell>
          <cell r="M9">
            <v>2.8655562262427159</v>
          </cell>
          <cell r="N9">
            <v>1.7683395846384453</v>
          </cell>
        </row>
        <row r="10">
          <cell r="A10" t="str">
            <v xml:space="preserve">                             Tea</v>
          </cell>
          <cell r="B10">
            <v>10332</v>
          </cell>
          <cell r="C10">
            <v>11069</v>
          </cell>
          <cell r="D10">
            <v>11195</v>
          </cell>
          <cell r="E10">
            <v>11341</v>
          </cell>
          <cell r="F10">
            <v>12226</v>
          </cell>
          <cell r="G10">
            <v>11802.9804</v>
          </cell>
          <cell r="H10">
            <v>12403.75210236</v>
          </cell>
          <cell r="I10">
            <v>12133.497888553051</v>
          </cell>
          <cell r="J10">
            <v>12324.868084432868</v>
          </cell>
          <cell r="K10">
            <v>12448.116765277196</v>
          </cell>
          <cell r="L10">
            <v>12571.365446121526</v>
          </cell>
          <cell r="M10">
            <v>7.1331784746418991</v>
          </cell>
          <cell r="N10">
            <v>1.1383142108591482</v>
          </cell>
        </row>
        <row r="11">
          <cell r="A11" t="str">
            <v xml:space="preserve">                             Rubber</v>
          </cell>
          <cell r="B11">
            <v>4011</v>
          </cell>
          <cell r="C11">
            <v>3795</v>
          </cell>
          <cell r="D11">
            <v>3452</v>
          </cell>
          <cell r="E11">
            <v>3487</v>
          </cell>
          <cell r="F11">
            <v>3149</v>
          </cell>
          <cell r="G11">
            <v>3102.0798999999997</v>
          </cell>
          <cell r="H11">
            <v>3255.6328550500002</v>
          </cell>
          <cell r="I11">
            <v>3264.4672814768251</v>
          </cell>
          <cell r="J11">
            <v>3370.9662847025461</v>
          </cell>
          <cell r="K11">
            <v>3610.3048909164268</v>
          </cell>
          <cell r="L11">
            <v>3556.369430361186</v>
          </cell>
          <cell r="M11">
            <v>-5.385190725504863</v>
          </cell>
          <cell r="N11">
            <v>-9.0382081686429476</v>
          </cell>
        </row>
        <row r="12">
          <cell r="A12" t="str">
            <v xml:space="preserve">                             Coconut</v>
          </cell>
          <cell r="B12">
            <v>12838</v>
          </cell>
          <cell r="C12">
            <v>13258</v>
          </cell>
          <cell r="D12">
            <v>12829</v>
          </cell>
          <cell r="E12">
            <v>13996</v>
          </cell>
          <cell r="F12">
            <v>15116</v>
          </cell>
          <cell r="G12">
            <v>13073.8284</v>
          </cell>
          <cell r="H12">
            <v>11293.172971920001</v>
          </cell>
          <cell r="I12">
            <v>12196.66085666827</v>
          </cell>
          <cell r="J12">
            <v>11998.441950097791</v>
          </cell>
          <cell r="K12">
            <v>11518.504272093878</v>
          </cell>
          <cell r="L12">
            <v>12010.440392047887</v>
          </cell>
          <cell r="M12">
            <v>3.2715376226826631</v>
          </cell>
          <cell r="N12">
            <v>-3.235782169256296</v>
          </cell>
        </row>
        <row r="13">
          <cell r="A13" t="str">
            <v xml:space="preserve">                             Paddy</v>
          </cell>
          <cell r="B13">
            <v>19892</v>
          </cell>
          <cell r="C13">
            <v>22122</v>
          </cell>
          <cell r="D13">
            <v>26165</v>
          </cell>
          <cell r="E13">
            <v>27892</v>
          </cell>
          <cell r="F13">
            <v>27808</v>
          </cell>
          <cell r="G13">
            <v>26222.944</v>
          </cell>
          <cell r="H13">
            <v>27553.225669120002</v>
          </cell>
          <cell r="I13">
            <v>29633.217385072559</v>
          </cell>
          <cell r="J13">
            <v>25152.169477602522</v>
          </cell>
          <cell r="K13">
            <v>28522.560187601255</v>
          </cell>
          <cell r="L13">
            <v>26988.277849467504</v>
          </cell>
          <cell r="M13">
            <v>11.210536899255974</v>
          </cell>
          <cell r="N13">
            <v>18.275924419130284</v>
          </cell>
        </row>
        <row r="14">
          <cell r="A14" t="str">
            <v xml:space="preserve">                            Other</v>
          </cell>
          <cell r="B14">
            <v>75521</v>
          </cell>
          <cell r="C14">
            <v>75863</v>
          </cell>
          <cell r="D14">
            <v>74696</v>
          </cell>
          <cell r="E14">
            <v>77236</v>
          </cell>
          <cell r="F14">
            <v>77913</v>
          </cell>
          <cell r="G14">
            <v>76204.92290000002</v>
          </cell>
          <cell r="H14">
            <v>78396.875748210005</v>
          </cell>
          <cell r="I14">
            <v>79922.291653470427</v>
          </cell>
          <cell r="J14">
            <v>82450.266927420394</v>
          </cell>
          <cell r="K14">
            <v>83274.769596694605</v>
          </cell>
          <cell r="L14">
            <v>83192.319329767168</v>
          </cell>
          <cell r="M14">
            <v>0.45285417301148545</v>
          </cell>
          <cell r="N14">
            <v>-1.5382993026903713</v>
          </cell>
        </row>
        <row r="15">
          <cell r="A15" t="str">
            <v xml:space="preserve">                                          Vegetables</v>
          </cell>
          <cell r="B15">
            <v>31189</v>
          </cell>
          <cell r="C15">
            <v>31676</v>
          </cell>
          <cell r="D15">
            <v>33126</v>
          </cell>
          <cell r="E15">
            <v>35235</v>
          </cell>
          <cell r="F15">
            <v>36426</v>
          </cell>
          <cell r="G15">
            <v>35165.660400000001</v>
          </cell>
          <cell r="H15">
            <v>34155.464364449996</v>
          </cell>
          <cell r="I15">
            <v>35912.97000678398</v>
          </cell>
          <cell r="J15">
            <v>37430.178109901019</v>
          </cell>
          <cell r="M15">
            <v>1.5614479463913478</v>
          </cell>
          <cell r="N15">
            <v>4.5775981815885824</v>
          </cell>
        </row>
        <row r="16">
          <cell r="A16" t="str">
            <v xml:space="preserve">                                          Subsidiary food crops</v>
          </cell>
          <cell r="B16">
            <v>19712</v>
          </cell>
          <cell r="C16">
            <v>18501</v>
          </cell>
          <cell r="D16">
            <v>15577</v>
          </cell>
          <cell r="E16">
            <v>15781</v>
          </cell>
          <cell r="F16">
            <v>16032</v>
          </cell>
          <cell r="G16">
            <v>15312.163199999999</v>
          </cell>
          <cell r="H16">
            <v>17125.782354809999</v>
          </cell>
          <cell r="I16">
            <v>16247.881501705386</v>
          </cell>
          <cell r="J16">
            <v>16900.517849650045</v>
          </cell>
          <cell r="M16">
            <v>-6.1434659090909065</v>
          </cell>
          <cell r="N16">
            <v>-15.804551105345654</v>
          </cell>
        </row>
        <row r="17">
          <cell r="A17" t="str">
            <v xml:space="preserve">                                          Minor export crops</v>
          </cell>
          <cell r="B17">
            <v>7137</v>
          </cell>
          <cell r="C17">
            <v>7874</v>
          </cell>
          <cell r="D17">
            <v>7825</v>
          </cell>
          <cell r="E17">
            <v>7666</v>
          </cell>
          <cell r="F17">
            <v>6960</v>
          </cell>
          <cell r="G17">
            <v>6297.4080000000013</v>
          </cell>
          <cell r="H17">
            <v>7116.0710399999998</v>
          </cell>
          <cell r="I17">
            <v>7522.4229405839988</v>
          </cell>
          <cell r="J17">
            <v>6601.8490095571788</v>
          </cell>
          <cell r="M17">
            <v>10.326467703516883</v>
          </cell>
          <cell r="N17">
            <v>-0.62230124460248559</v>
          </cell>
        </row>
        <row r="18">
          <cell r="A18" t="str">
            <v xml:space="preserve">                                         Sugarcane</v>
          </cell>
          <cell r="B18">
            <v>1260</v>
          </cell>
          <cell r="C18">
            <v>1203</v>
          </cell>
          <cell r="D18">
            <v>1202</v>
          </cell>
          <cell r="E18">
            <v>1281</v>
          </cell>
          <cell r="F18">
            <v>1345</v>
          </cell>
          <cell r="G18">
            <v>1047.7578000000001</v>
          </cell>
          <cell r="H18">
            <v>1058.2353780000001</v>
          </cell>
          <cell r="I18">
            <v>1217.2305070365601</v>
          </cell>
          <cell r="J18">
            <v>1201.4065104450847</v>
          </cell>
          <cell r="M18">
            <v>-4.5238095238095184</v>
          </cell>
          <cell r="N18">
            <v>-8.3125519534499315E-2</v>
          </cell>
        </row>
        <row r="19">
          <cell r="A19" t="str">
            <v xml:space="preserve">                                         Tobacco</v>
          </cell>
          <cell r="B19">
            <v>1496</v>
          </cell>
          <cell r="C19">
            <v>1553</v>
          </cell>
          <cell r="D19">
            <v>1569</v>
          </cell>
          <cell r="E19">
            <v>1484</v>
          </cell>
          <cell r="F19">
            <v>1325</v>
          </cell>
          <cell r="G19">
            <v>1297.0425</v>
          </cell>
          <cell r="H19">
            <v>1486.5404092499998</v>
          </cell>
          <cell r="I19">
            <v>1290.0311659553279</v>
          </cell>
          <cell r="J19">
            <v>1080.8387882509742</v>
          </cell>
          <cell r="M19">
            <v>3.8101604278074852</v>
          </cell>
          <cell r="N19">
            <v>1.0302640051513157</v>
          </cell>
        </row>
        <row r="20">
          <cell r="A20" t="str">
            <v xml:space="preserve">                                         Animal husbandry</v>
          </cell>
          <cell r="B20">
            <v>6065</v>
          </cell>
          <cell r="C20">
            <v>6293</v>
          </cell>
          <cell r="D20">
            <v>6560</v>
          </cell>
          <cell r="E20">
            <v>6597</v>
          </cell>
          <cell r="F20">
            <v>6630</v>
          </cell>
          <cell r="G20">
            <v>7376.8099999999995</v>
          </cell>
          <cell r="H20">
            <v>7303.0418999999993</v>
          </cell>
          <cell r="I20">
            <v>7437.57446043648</v>
          </cell>
          <cell r="J20">
            <v>7974.9284035033161</v>
          </cell>
          <cell r="M20">
            <v>3.75927452596867</v>
          </cell>
          <cell r="N20">
            <v>4.2428094708406139</v>
          </cell>
        </row>
        <row r="21">
          <cell r="A21" t="str">
            <v xml:space="preserve">                                        Other</v>
          </cell>
          <cell r="B21">
            <v>8662</v>
          </cell>
          <cell r="C21">
            <v>8763</v>
          </cell>
          <cell r="D21">
            <v>8837</v>
          </cell>
          <cell r="E21">
            <v>9192</v>
          </cell>
          <cell r="F21">
            <v>9195</v>
          </cell>
          <cell r="G21">
            <v>9708.0810000000001</v>
          </cell>
          <cell r="H21">
            <v>10151.740301700002</v>
          </cell>
          <cell r="I21">
            <v>10294.181070968702</v>
          </cell>
          <cell r="J21">
            <v>11260.548256112766</v>
          </cell>
          <cell r="M21">
            <v>1.1660124682521422</v>
          </cell>
          <cell r="N21">
            <v>0.84445965993380501</v>
          </cell>
        </row>
        <row r="22">
          <cell r="A22" t="str">
            <v xml:space="preserve">        1.2  Forestry</v>
          </cell>
          <cell r="B22">
            <v>14751</v>
          </cell>
          <cell r="C22">
            <v>14942</v>
          </cell>
          <cell r="D22">
            <v>15122</v>
          </cell>
          <cell r="E22">
            <v>15319</v>
          </cell>
          <cell r="F22">
            <v>15564</v>
          </cell>
          <cell r="G22">
            <v>16342.468000000001</v>
          </cell>
          <cell r="H22">
            <v>16657.580892400001</v>
          </cell>
          <cell r="I22">
            <v>16887.06572847944</v>
          </cell>
          <cell r="J22">
            <v>17106.529991868851</v>
          </cell>
          <cell r="K22">
            <v>17448.66059170623</v>
          </cell>
          <cell r="L22">
            <v>17448.66059170623</v>
          </cell>
          <cell r="M22">
            <v>1.2948274693241224</v>
          </cell>
          <cell r="N22">
            <v>1.2046580109757787</v>
          </cell>
        </row>
        <row r="23">
          <cell r="A23" t="str">
            <v xml:space="preserve">        1.3  Fishing</v>
          </cell>
          <cell r="B23">
            <v>18763</v>
          </cell>
          <cell r="C23">
            <v>19704</v>
          </cell>
          <cell r="D23">
            <v>21345</v>
          </cell>
          <cell r="E23">
            <v>22967</v>
          </cell>
          <cell r="F23">
            <v>23541</v>
          </cell>
          <cell r="G23">
            <v>22627.609200000003</v>
          </cell>
          <cell r="H23">
            <v>24062.732986479998</v>
          </cell>
          <cell r="I23">
            <v>22412.360791529463</v>
          </cell>
          <cell r="J23">
            <v>22779.109378330599</v>
          </cell>
          <cell r="K23">
            <v>23462.482659680518</v>
          </cell>
          <cell r="L23">
            <v>17084.332033747949</v>
          </cell>
          <cell r="M23">
            <v>5.015189468635084</v>
          </cell>
          <cell r="N23">
            <v>8.3282582216808834</v>
          </cell>
        </row>
        <row r="24">
          <cell r="A24" t="str">
            <v>Industry</v>
          </cell>
          <cell r="B24">
            <v>184054</v>
          </cell>
          <cell r="C24">
            <v>198149</v>
          </cell>
          <cell r="D24">
            <v>209761</v>
          </cell>
          <cell r="E24">
            <v>219769</v>
          </cell>
          <cell r="F24">
            <v>236347</v>
          </cell>
          <cell r="G24">
            <v>231350.33677970961</v>
          </cell>
          <cell r="H24">
            <v>233562.36584964575</v>
          </cell>
          <cell r="I24">
            <v>246416.54835371781</v>
          </cell>
          <cell r="J24">
            <v>259256.04649053051</v>
          </cell>
          <cell r="K24">
            <v>273235.20584219787</v>
          </cell>
          <cell r="L24">
            <v>275288.40462300967</v>
          </cell>
          <cell r="M24">
            <v>7.6580786073652263</v>
          </cell>
          <cell r="N24">
            <v>5.8602364887029523</v>
          </cell>
        </row>
        <row r="25">
          <cell r="A25" t="str">
            <v>2.  Mining &amp; quarrying</v>
          </cell>
          <cell r="B25">
            <v>13926</v>
          </cell>
          <cell r="C25">
            <v>14460</v>
          </cell>
          <cell r="D25">
            <v>13677</v>
          </cell>
          <cell r="E25">
            <v>14238</v>
          </cell>
          <cell r="F25">
            <v>14921</v>
          </cell>
          <cell r="G25">
            <v>15018.856125455764</v>
          </cell>
          <cell r="H25">
            <v>14858.015653761893</v>
          </cell>
          <cell r="I25">
            <v>15699.374087039936</v>
          </cell>
          <cell r="J25">
            <v>16946.256298066895</v>
          </cell>
          <cell r="K25">
            <v>18116.747210378202</v>
          </cell>
          <cell r="L25">
            <v>18548.902923957638</v>
          </cell>
          <cell r="M25">
            <v>3.8345540715208903</v>
          </cell>
          <cell r="N25">
            <v>-5.4149377593361026</v>
          </cell>
        </row>
        <row r="26">
          <cell r="A26" t="str">
            <v xml:space="preserve">       2.1  Mining</v>
          </cell>
          <cell r="B26">
            <v>5239</v>
          </cell>
          <cell r="C26">
            <v>5316</v>
          </cell>
          <cell r="D26">
            <v>3863</v>
          </cell>
          <cell r="E26">
            <v>3925</v>
          </cell>
          <cell r="F26">
            <v>4113</v>
          </cell>
          <cell r="G26">
            <v>3943.6697778581001</v>
          </cell>
          <cell r="H26">
            <v>3872.5137876402041</v>
          </cell>
          <cell r="I26">
            <v>4114.0638190280042</v>
          </cell>
          <cell r="J26">
            <v>4598.9501957973744</v>
          </cell>
          <cell r="K26">
            <v>4966.8662114611643</v>
          </cell>
          <cell r="L26">
            <v>4966.8662114611643</v>
          </cell>
          <cell r="M26">
            <v>1.4697461347585428</v>
          </cell>
          <cell r="N26">
            <v>-27.332580887885626</v>
          </cell>
        </row>
        <row r="27">
          <cell r="A27" t="str">
            <v xml:space="preserve">       2.2  Quarrying</v>
          </cell>
          <cell r="B27">
            <v>8687</v>
          </cell>
          <cell r="C27">
            <v>9144</v>
          </cell>
          <cell r="D27">
            <v>9814</v>
          </cell>
          <cell r="E27">
            <v>10313</v>
          </cell>
          <cell r="F27">
            <v>10808</v>
          </cell>
          <cell r="G27">
            <v>11075.186347597664</v>
          </cell>
          <cell r="H27">
            <v>10985.501866121689</v>
          </cell>
          <cell r="I27">
            <v>11585.310268011932</v>
          </cell>
          <cell r="J27">
            <v>12347.30610226952</v>
          </cell>
          <cell r="K27">
            <v>13149.880998917037</v>
          </cell>
          <cell r="L27">
            <v>13582.036712496472</v>
          </cell>
          <cell r="M27">
            <v>5.2607344307586068</v>
          </cell>
          <cell r="N27">
            <v>7.3272090988626415</v>
          </cell>
        </row>
        <row r="28">
          <cell r="A28" t="str">
            <v>3.  Manufacturing</v>
          </cell>
          <cell r="B28">
            <v>112724</v>
          </cell>
          <cell r="C28">
            <v>122929</v>
          </cell>
          <cell r="D28">
            <v>130702</v>
          </cell>
          <cell r="E28">
            <v>136498</v>
          </cell>
          <cell r="F28">
            <v>149115</v>
          </cell>
          <cell r="G28">
            <v>142909.06902320709</v>
          </cell>
          <cell r="H28">
            <v>145864.2491964573</v>
          </cell>
          <cell r="I28">
            <v>151950.81213110249</v>
          </cell>
          <cell r="J28">
            <v>159695.82717449224</v>
          </cell>
          <cell r="K28">
            <v>167615.42587547356</v>
          </cell>
          <cell r="L28">
            <v>166885.77626661118</v>
          </cell>
          <cell r="M28">
            <v>9.0530854121571238</v>
          </cell>
          <cell r="N28">
            <v>6.3231621505096536</v>
          </cell>
        </row>
        <row r="29">
          <cell r="A29" t="str">
            <v xml:space="preserve">      3.1     Processing    of  tea,     rubber    &amp;         coconut  kernel   products</v>
          </cell>
          <cell r="B29">
            <v>16203</v>
          </cell>
          <cell r="C29">
            <v>16771</v>
          </cell>
          <cell r="D29">
            <v>16575</v>
          </cell>
          <cell r="E29">
            <v>17204</v>
          </cell>
          <cell r="F29">
            <v>17928</v>
          </cell>
          <cell r="G29">
            <v>16735.548023207106</v>
          </cell>
          <cell r="H29">
            <v>16578.983291457327</v>
          </cell>
          <cell r="I29">
            <v>16555.345586272513</v>
          </cell>
          <cell r="J29">
            <v>16759.425633930619</v>
          </cell>
          <cell r="K29">
            <v>17161.651849144953</v>
          </cell>
          <cell r="L29">
            <v>16729.346029995813</v>
          </cell>
          <cell r="M29">
            <v>3.5055236684564672</v>
          </cell>
          <cell r="N29">
            <v>-1.1686840379226071</v>
          </cell>
        </row>
        <row r="30">
          <cell r="A30" t="str">
            <v xml:space="preserve">       3.2  Factory industry</v>
          </cell>
          <cell r="B30">
            <v>87771</v>
          </cell>
          <cell r="C30">
            <v>96795</v>
          </cell>
          <cell r="D30">
            <v>104151</v>
          </cell>
          <cell r="E30">
            <v>108839</v>
          </cell>
          <cell r="F30">
            <v>120157</v>
          </cell>
          <cell r="G30">
            <v>115525.24099999999</v>
          </cell>
          <cell r="H30">
            <v>118413.37202499999</v>
          </cell>
          <cell r="I30">
            <v>123860.38713814999</v>
          </cell>
          <cell r="J30">
            <v>131465.4149084324</v>
          </cell>
          <cell r="K30">
            <v>138696.01272839616</v>
          </cell>
          <cell r="L30">
            <v>138433.08189857932</v>
          </cell>
          <cell r="M30">
            <v>10.281300201661136</v>
          </cell>
          <cell r="N30">
            <v>7.5995660932899334</v>
          </cell>
        </row>
        <row r="31">
          <cell r="A31" t="str">
            <v xml:space="preserve">       3.3  Small industry</v>
          </cell>
          <cell r="B31">
            <v>8750</v>
          </cell>
          <cell r="C31">
            <v>9363</v>
          </cell>
          <cell r="D31">
            <v>9976</v>
          </cell>
          <cell r="E31">
            <v>10455</v>
          </cell>
          <cell r="F31">
            <v>11030</v>
          </cell>
          <cell r="G31">
            <v>10648.279999999999</v>
          </cell>
          <cell r="H31">
            <v>10871.893879999998</v>
          </cell>
          <cell r="I31">
            <v>11535.079406679997</v>
          </cell>
          <cell r="J31">
            <v>11470.986632129207</v>
          </cell>
          <cell r="K31">
            <v>11757.761297932435</v>
          </cell>
          <cell r="L31">
            <v>11723.348338036049</v>
          </cell>
          <cell r="M31">
            <v>7.0057142857142818</v>
          </cell>
          <cell r="N31">
            <v>6.5470468866816178</v>
          </cell>
        </row>
        <row r="32">
          <cell r="A32" t="str">
            <v>4.  Construction</v>
          </cell>
          <cell r="B32">
            <v>48234</v>
          </cell>
          <cell r="C32">
            <v>50842</v>
          </cell>
          <cell r="D32">
            <v>54461</v>
          </cell>
          <cell r="E32">
            <v>57075</v>
          </cell>
          <cell r="F32">
            <v>59815</v>
          </cell>
          <cell r="G32">
            <v>61292.015200000002</v>
          </cell>
          <cell r="H32">
            <v>60795.953106000001</v>
          </cell>
          <cell r="I32">
            <v>64115.412145587601</v>
          </cell>
          <cell r="J32">
            <v>68332.44870623466</v>
          </cell>
          <cell r="K32">
            <v>72774.057872139907</v>
          </cell>
          <cell r="L32">
            <v>75165.693576858132</v>
          </cell>
          <cell r="M32">
            <v>5.4069743334577369</v>
          </cell>
          <cell r="N32">
            <v>7.11813067935958</v>
          </cell>
        </row>
        <row r="33">
          <cell r="A33" t="str">
            <v>5.  Electricity,gas,water and Sanitary Services</v>
          </cell>
          <cell r="B33">
            <v>9170</v>
          </cell>
          <cell r="C33">
            <v>9918</v>
          </cell>
          <cell r="D33">
            <v>10921</v>
          </cell>
          <cell r="E33">
            <v>11958</v>
          </cell>
          <cell r="F33">
            <v>12496</v>
          </cell>
          <cell r="G33">
            <v>12130.396431046767</v>
          </cell>
          <cell r="H33">
            <v>12044.147893426547</v>
          </cell>
          <cell r="I33">
            <v>14650.949989987805</v>
          </cell>
          <cell r="J33">
            <v>14281.51431173671</v>
          </cell>
          <cell r="K33">
            <v>14728.974884206178</v>
          </cell>
          <cell r="L33">
            <v>14688.031855582703</v>
          </cell>
          <cell r="M33">
            <v>8.1570338058887693</v>
          </cell>
          <cell r="N33">
            <v>10.112925993143772</v>
          </cell>
        </row>
        <row r="34">
          <cell r="A34" t="str">
            <v xml:space="preserve">       5.1  Electricity</v>
          </cell>
          <cell r="B34">
            <v>7973</v>
          </cell>
          <cell r="C34">
            <v>8648</v>
          </cell>
          <cell r="D34">
            <v>9498</v>
          </cell>
          <cell r="E34">
            <v>10340</v>
          </cell>
          <cell r="F34">
            <v>10805</v>
          </cell>
          <cell r="G34">
            <v>10403.278999999999</v>
          </cell>
          <cell r="H34">
            <v>10251.4</v>
          </cell>
          <cell r="I34">
            <v>12834</v>
          </cell>
          <cell r="J34">
            <v>12380</v>
          </cell>
          <cell r="K34">
            <v>12751.4</v>
          </cell>
          <cell r="L34">
            <v>12714.259999999998</v>
          </cell>
          <cell r="M34">
            <v>8.4660729963627279</v>
          </cell>
          <cell r="N34">
            <v>9.8288621646623433</v>
          </cell>
        </row>
        <row r="35">
          <cell r="A35" t="str">
            <v xml:space="preserve">       5.2  Water and gas</v>
          </cell>
          <cell r="B35">
            <v>1197</v>
          </cell>
          <cell r="C35">
            <v>1270</v>
          </cell>
          <cell r="D35">
            <v>1423</v>
          </cell>
          <cell r="E35">
            <v>1618</v>
          </cell>
          <cell r="F35">
            <v>1691</v>
          </cell>
          <cell r="G35">
            <v>1727.1174310467691</v>
          </cell>
          <cell r="H35">
            <v>1792.7478934265464</v>
          </cell>
          <cell r="I35">
            <v>1816.9499899878049</v>
          </cell>
          <cell r="J35">
            <v>1901.5143117367093</v>
          </cell>
          <cell r="K35">
            <v>1977.5748842061778</v>
          </cell>
          <cell r="L35">
            <v>1973.7718555827043</v>
          </cell>
          <cell r="M35">
            <v>6.0985797827903143</v>
          </cell>
          <cell r="N35">
            <v>12.047244094488185</v>
          </cell>
        </row>
        <row r="36">
          <cell r="A36" t="str">
            <v>Services</v>
          </cell>
          <cell r="B36">
            <v>355772</v>
          </cell>
          <cell r="C36">
            <v>380861</v>
          </cell>
          <cell r="D36">
            <v>400231</v>
          </cell>
          <cell r="E36">
            <v>416333</v>
          </cell>
          <cell r="F36">
            <v>445371</v>
          </cell>
          <cell r="G36">
            <v>443067.32714357489</v>
          </cell>
          <cell r="H36">
            <v>470062.82153840724</v>
          </cell>
          <cell r="I36">
            <v>507191.23996037757</v>
          </cell>
          <cell r="J36">
            <v>545486.29175361502</v>
          </cell>
          <cell r="K36">
            <v>584687.93015227269</v>
          </cell>
          <cell r="L36">
            <v>582708.80177642743</v>
          </cell>
          <cell r="M36">
            <v>7.0519883520906657</v>
          </cell>
          <cell r="N36">
            <v>5.0858449670614814</v>
          </cell>
        </row>
        <row r="37">
          <cell r="A37" t="str">
            <v>6.  Transport, storage and communication</v>
          </cell>
          <cell r="B37">
            <v>73785</v>
          </cell>
          <cell r="C37">
            <v>80268</v>
          </cell>
          <cell r="D37">
            <v>86442</v>
          </cell>
          <cell r="E37">
            <v>93444</v>
          </cell>
          <cell r="F37">
            <v>100706</v>
          </cell>
          <cell r="G37">
            <v>104510.30366362155</v>
          </cell>
          <cell r="H37">
            <v>112472.03681470887</v>
          </cell>
          <cell r="I37">
            <v>124415.07602679323</v>
          </cell>
          <cell r="J37">
            <v>141465.75574454141</v>
          </cell>
          <cell r="K37">
            <v>159223.94041593606</v>
          </cell>
          <cell r="L37">
            <v>156272.47889139567</v>
          </cell>
          <cell r="M37">
            <v>8.7863386867249371</v>
          </cell>
          <cell r="N37">
            <v>7.6917326954701659</v>
          </cell>
        </row>
        <row r="38">
          <cell r="A38" t="str">
            <v xml:space="preserve">      6.1  Port services</v>
          </cell>
          <cell r="B38">
            <v>5347</v>
          </cell>
          <cell r="C38">
            <v>6247</v>
          </cell>
          <cell r="D38">
            <v>6402</v>
          </cell>
          <cell r="E38">
            <v>6478</v>
          </cell>
          <cell r="F38">
            <v>6504</v>
          </cell>
          <cell r="G38">
            <v>6506.0442828323467</v>
          </cell>
          <cell r="H38">
            <v>6664.1411589051722</v>
          </cell>
          <cell r="I38">
            <v>7383.8684040669314</v>
          </cell>
          <cell r="J38">
            <v>8371.3939094040252</v>
          </cell>
          <cell r="K38">
            <v>9041.1054221563481</v>
          </cell>
          <cell r="L38">
            <v>9375.9611785325087</v>
          </cell>
          <cell r="M38">
            <v>16.831868337385458</v>
          </cell>
          <cell r="N38">
            <v>2.4811909716663916</v>
          </cell>
        </row>
        <row r="39">
          <cell r="A39" t="str">
            <v xml:space="preserve">      6.2  Telecommunications</v>
          </cell>
          <cell r="B39">
            <v>6558</v>
          </cell>
          <cell r="C39">
            <v>8630</v>
          </cell>
          <cell r="D39">
            <v>12584</v>
          </cell>
          <cell r="E39">
            <v>17520</v>
          </cell>
          <cell r="F39">
            <v>21911</v>
          </cell>
          <cell r="G39">
            <v>26981.205400000003</v>
          </cell>
          <cell r="H39">
            <v>32199.370524360005</v>
          </cell>
          <cell r="I39">
            <v>40088.216302828208</v>
          </cell>
          <cell r="J39">
            <v>52894.342529414942</v>
          </cell>
          <cell r="K39">
            <v>67175.815012356979</v>
          </cell>
          <cell r="L39">
            <v>64531.097885886229</v>
          </cell>
          <cell r="M39">
            <v>31.594998475144862</v>
          </cell>
          <cell r="N39">
            <v>45.816917728852836</v>
          </cell>
        </row>
        <row r="40">
          <cell r="A40" t="str">
            <v xml:space="preserve">      6.3  Transport</v>
          </cell>
          <cell r="B40">
            <v>61880</v>
          </cell>
          <cell r="C40">
            <v>65391</v>
          </cell>
          <cell r="D40">
            <v>67456</v>
          </cell>
          <cell r="E40">
            <v>69446</v>
          </cell>
          <cell r="F40">
            <v>72291</v>
          </cell>
          <cell r="G40">
            <v>71023.053980789206</v>
          </cell>
          <cell r="H40">
            <v>73608.525131443705</v>
          </cell>
          <cell r="I40">
            <v>76942.991319898094</v>
          </cell>
          <cell r="J40">
            <v>80200.019305722439</v>
          </cell>
          <cell r="K40">
            <v>83007.019981422724</v>
          </cell>
          <cell r="L40">
            <v>82365.41982697694</v>
          </cell>
          <cell r="M40">
            <v>5.673884938590823</v>
          </cell>
          <cell r="N40">
            <v>3.1579269318407821</v>
          </cell>
        </row>
        <row r="41">
          <cell r="A41" t="str">
            <v>7.  Wholesale and retail trade</v>
          </cell>
          <cell r="B41">
            <v>155317</v>
          </cell>
          <cell r="C41">
            <v>165132</v>
          </cell>
          <cell r="D41">
            <v>172486</v>
          </cell>
          <cell r="E41">
            <v>174160</v>
          </cell>
          <cell r="F41">
            <v>189366</v>
          </cell>
          <cell r="G41">
            <v>176762.41087995336</v>
          </cell>
          <cell r="H41">
            <v>186637.44167489832</v>
          </cell>
          <cell r="I41">
            <v>200353.92675360152</v>
          </cell>
          <cell r="J41">
            <v>211793.83962153093</v>
          </cell>
          <cell r="K41">
            <v>223166.90797313914</v>
          </cell>
          <cell r="L41">
            <v>227894.15393230307</v>
          </cell>
          <cell r="M41">
            <v>6.3193340072239312</v>
          </cell>
          <cell r="N41">
            <v>4.4534069713925817</v>
          </cell>
        </row>
        <row r="42">
          <cell r="A42" t="str">
            <v xml:space="preserve">      7.1  Imports</v>
          </cell>
          <cell r="B42">
            <v>64629</v>
          </cell>
          <cell r="C42">
            <v>70833</v>
          </cell>
          <cell r="D42">
            <v>76609</v>
          </cell>
          <cell r="E42">
            <v>75536</v>
          </cell>
          <cell r="F42">
            <v>85280</v>
          </cell>
          <cell r="G42">
            <v>76154.975605636137</v>
          </cell>
          <cell r="H42">
            <v>82530.11497283823</v>
          </cell>
          <cell r="I42">
            <v>91773.487849796118</v>
          </cell>
          <cell r="J42">
            <v>100052.2932267978</v>
          </cell>
          <cell r="K42">
            <v>107156.00604590045</v>
          </cell>
          <cell r="L42">
            <v>112058.56841401356</v>
          </cell>
          <cell r="M42">
            <v>9.599405839483822</v>
          </cell>
          <cell r="N42">
            <v>8.1543913147826608</v>
          </cell>
        </row>
        <row r="43">
          <cell r="A43" t="str">
            <v xml:space="preserve">      7.2  Exports</v>
          </cell>
          <cell r="B43">
            <v>16365</v>
          </cell>
          <cell r="C43">
            <v>18323</v>
          </cell>
          <cell r="D43">
            <v>18346</v>
          </cell>
          <cell r="E43">
            <v>19465</v>
          </cell>
          <cell r="F43">
            <v>23027</v>
          </cell>
          <cell r="G43">
            <v>21184.65263265929</v>
          </cell>
          <cell r="H43">
            <v>21608.345685312477</v>
          </cell>
          <cell r="I43">
            <v>22364.637784298411</v>
          </cell>
          <cell r="J43">
            <v>24083.341920149578</v>
          </cell>
          <cell r="K43">
            <v>25985.925931841393</v>
          </cell>
          <cell r="L43">
            <v>25985.925931841393</v>
          </cell>
          <cell r="M43">
            <v>11.964558509013145</v>
          </cell>
          <cell r="N43">
            <v>0.12552529607596785</v>
          </cell>
        </row>
        <row r="44">
          <cell r="A44" t="str">
            <v xml:space="preserve">      7.3  Domestic</v>
          </cell>
          <cell r="B44">
            <v>74323</v>
          </cell>
          <cell r="C44">
            <v>75976</v>
          </cell>
          <cell r="D44">
            <v>77531</v>
          </cell>
          <cell r="E44">
            <v>79159</v>
          </cell>
          <cell r="F44">
            <v>81059</v>
          </cell>
          <cell r="G44">
            <v>79422.782641657948</v>
          </cell>
          <cell r="H44">
            <v>82498.98101674761</v>
          </cell>
          <cell r="I44">
            <v>86215.801119507014</v>
          </cell>
          <cell r="J44">
            <v>87658.204474583559</v>
          </cell>
          <cell r="K44">
            <v>90024.975995397312</v>
          </cell>
          <cell r="L44">
            <v>89849.659586448135</v>
          </cell>
          <cell r="M44">
            <v>2.2240759926267728</v>
          </cell>
          <cell r="N44">
            <v>2.0466989575655514</v>
          </cell>
        </row>
        <row r="45">
          <cell r="A45" t="str">
            <v>8.  Banking, insurance and real estate</v>
          </cell>
          <cell r="B45">
            <v>49675</v>
          </cell>
          <cell r="C45">
            <v>54767</v>
          </cell>
          <cell r="D45">
            <v>58247</v>
          </cell>
          <cell r="E45">
            <v>60926</v>
          </cell>
          <cell r="F45">
            <v>64810</v>
          </cell>
          <cell r="G45">
            <v>69948.628599999996</v>
          </cell>
          <cell r="H45">
            <v>77695.364788800012</v>
          </cell>
          <cell r="I45">
            <v>85931.073456412822</v>
          </cell>
          <cell r="J45">
            <v>91613.112922252796</v>
          </cell>
          <cell r="K45">
            <v>97830.440826810489</v>
          </cell>
          <cell r="L45">
            <v>96584.948568365449</v>
          </cell>
          <cell r="M45">
            <v>10.250629089079011</v>
          </cell>
          <cell r="N45">
            <v>6.35419139262694</v>
          </cell>
        </row>
        <row r="46">
          <cell r="A46" t="str">
            <v xml:space="preserve">       8.1   Banking</v>
          </cell>
          <cell r="B46">
            <v>17019.744875008037</v>
          </cell>
          <cell r="C46">
            <v>18738.605745427245</v>
          </cell>
          <cell r="D46">
            <v>20522.581235352282</v>
          </cell>
          <cell r="E46">
            <v>22272.01015664763</v>
          </cell>
          <cell r="F46">
            <v>23926.168256148638</v>
          </cell>
          <cell r="G46">
            <v>28095.61422588108</v>
          </cell>
          <cell r="H46">
            <v>33072.794222509598</v>
          </cell>
          <cell r="I46">
            <v>38121.316696619753</v>
          </cell>
          <cell r="J46">
            <v>39118</v>
          </cell>
          <cell r="K46">
            <v>41660.67</v>
          </cell>
          <cell r="L46">
            <v>41465.08</v>
          </cell>
          <cell r="M46">
            <v>10.099216427992408</v>
          </cell>
          <cell r="N46">
            <v>9.5203213844251788</v>
          </cell>
        </row>
        <row r="47">
          <cell r="A47" t="str">
            <v xml:space="preserve">       8.2   Insurance, real estate and other financial services</v>
          </cell>
          <cell r="B47">
            <v>32655.255124991963</v>
          </cell>
          <cell r="C47">
            <v>36028.394254572762</v>
          </cell>
          <cell r="D47">
            <v>37724.418764647722</v>
          </cell>
          <cell r="E47">
            <v>38653.98984335237</v>
          </cell>
          <cell r="F47">
            <v>40883.831743851362</v>
          </cell>
          <cell r="G47">
            <v>41853.014374118924</v>
          </cell>
          <cell r="H47">
            <v>44622.570566290415</v>
          </cell>
          <cell r="I47">
            <v>47809.756759793068</v>
          </cell>
          <cell r="J47">
            <v>52495.112922252796</v>
          </cell>
          <cell r="K47">
            <v>56169.770826810498</v>
          </cell>
          <cell r="L47">
            <v>55119.86856836544</v>
          </cell>
          <cell r="M47">
            <v>10.329544560805592</v>
          </cell>
          <cell r="N47">
            <v>4.7074662781000809</v>
          </cell>
        </row>
        <row r="48">
          <cell r="A48" t="str">
            <v>9.  Ownership of dwellings</v>
          </cell>
          <cell r="B48">
            <v>14232</v>
          </cell>
          <cell r="C48">
            <v>14416</v>
          </cell>
          <cell r="D48">
            <v>14592</v>
          </cell>
          <cell r="E48">
            <v>14767</v>
          </cell>
          <cell r="F48">
            <v>15018</v>
          </cell>
          <cell r="G48">
            <v>15228.252</v>
          </cell>
          <cell r="H48">
            <v>15456.67578</v>
          </cell>
          <cell r="I48">
            <v>15657.612565139998</v>
          </cell>
          <cell r="J48">
            <v>15845.503915921678</v>
          </cell>
          <cell r="K48">
            <v>16067.340970744581</v>
          </cell>
          <cell r="L48">
            <v>16051.495466828657</v>
          </cell>
          <cell r="M48">
            <v>1.2928611579539062</v>
          </cell>
          <cell r="N48">
            <v>1.2208657047724669</v>
          </cell>
        </row>
        <row r="49">
          <cell r="A49" t="str">
            <v>10. Public admninstration and defence</v>
          </cell>
          <cell r="B49">
            <v>35215</v>
          </cell>
          <cell r="C49">
            <v>37055</v>
          </cell>
          <cell r="D49">
            <v>38170</v>
          </cell>
          <cell r="E49">
            <v>39773</v>
          </cell>
          <cell r="F49">
            <v>41443</v>
          </cell>
          <cell r="G49">
            <v>41857.154999999999</v>
          </cell>
          <cell r="H49">
            <v>41869.112479999996</v>
          </cell>
          <cell r="I49">
            <v>42125.281462759995</v>
          </cell>
          <cell r="J49">
            <v>42987.104989012958</v>
          </cell>
          <cell r="K49">
            <v>44276.718138683347</v>
          </cell>
          <cell r="L49">
            <v>44276.718138683347</v>
          </cell>
          <cell r="M49">
            <v>5.2250461451086139</v>
          </cell>
          <cell r="N49">
            <v>3.0090406153015836</v>
          </cell>
        </row>
        <row r="50">
          <cell r="A50" t="str">
            <v>11. Services (n.e.s.)</v>
          </cell>
          <cell r="B50">
            <v>27548</v>
          </cell>
          <cell r="C50">
            <v>29223</v>
          </cell>
          <cell r="D50">
            <v>30294</v>
          </cell>
          <cell r="E50">
            <v>33263</v>
          </cell>
          <cell r="F50">
            <v>34028</v>
          </cell>
          <cell r="G50">
            <v>34760.577000000005</v>
          </cell>
          <cell r="H50">
            <v>35932.19</v>
          </cell>
          <cell r="I50">
            <v>38708.269695670002</v>
          </cell>
          <cell r="J50">
            <v>41780.9745603552</v>
          </cell>
          <cell r="K50">
            <v>44122.581826959111</v>
          </cell>
          <cell r="L50">
            <v>41629.006778851261</v>
          </cell>
          <cell r="M50">
            <v>6.0802962102511904</v>
          </cell>
          <cell r="N50">
            <v>3.6649214659685958</v>
          </cell>
        </row>
        <row r="51">
          <cell r="A51" t="str">
            <v xml:space="preserve">       11.1  Hotels and restaurants</v>
          </cell>
          <cell r="B51">
            <v>4434.4548950270655</v>
          </cell>
          <cell r="C51">
            <v>5015.915540470116</v>
          </cell>
          <cell r="D51">
            <v>5124.5003515917215</v>
          </cell>
          <cell r="E51">
            <v>5780.4899290464782</v>
          </cell>
          <cell r="F51">
            <v>5866.5147730310373</v>
          </cell>
          <cell r="G51">
            <v>4970.4647001409112</v>
          </cell>
          <cell r="H51">
            <v>4867.6332146247078</v>
          </cell>
          <cell r="I51">
            <v>6152.9065924349024</v>
          </cell>
          <cell r="J51">
            <v>7130.2162691927169</v>
          </cell>
          <cell r="K51">
            <v>7843.2378961119894</v>
          </cell>
          <cell r="L51">
            <v>5418.9643645864653</v>
          </cell>
          <cell r="M51">
            <v>13.112336447375261</v>
          </cell>
          <cell r="N51">
            <v>2.1648054128006411</v>
          </cell>
        </row>
        <row r="52">
          <cell r="A52" t="str">
            <v xml:space="preserve">       11.2  Other</v>
          </cell>
          <cell r="B52">
            <v>23113.545104972938</v>
          </cell>
          <cell r="C52">
            <v>24207.084459529884</v>
          </cell>
          <cell r="D52">
            <v>25169.499648408277</v>
          </cell>
          <cell r="E52">
            <v>27482.510070953522</v>
          </cell>
          <cell r="F52">
            <v>28161.485226968965</v>
          </cell>
          <cell r="G52">
            <v>29790.112299859087</v>
          </cell>
          <cell r="H52">
            <v>31064.556785375295</v>
          </cell>
          <cell r="I52">
            <v>32555.3631032351</v>
          </cell>
          <cell r="J52">
            <v>34650.758291162485</v>
          </cell>
          <cell r="K52">
            <v>36279.343930847121</v>
          </cell>
          <cell r="L52">
            <v>36210.042414264797</v>
          </cell>
          <cell r="M52">
            <v>4.7311623967267069</v>
          </cell>
          <cell r="N52">
            <v>3.9757583796899976</v>
          </cell>
        </row>
        <row r="53">
          <cell r="A53" t="str">
            <v>12. Gross domestic product</v>
          </cell>
          <cell r="B53">
            <v>695934</v>
          </cell>
          <cell r="C53">
            <v>739763</v>
          </cell>
          <cell r="D53">
            <v>774796</v>
          </cell>
          <cell r="E53">
            <v>808340</v>
          </cell>
          <cell r="F53">
            <v>857035</v>
          </cell>
          <cell r="G53">
            <v>843794.4967232846</v>
          </cell>
          <cell r="H53">
            <v>877248.16061359306</v>
          </cell>
          <cell r="I53">
            <v>930057.34989934543</v>
          </cell>
          <cell r="J53">
            <v>979924.69033860113</v>
          </cell>
          <cell r="K53">
            <v>1038208.5349584407</v>
          </cell>
          <cell r="L53">
            <v>1030848.9714726566</v>
          </cell>
          <cell r="M53">
            <v>6.2978673264993512</v>
          </cell>
          <cell r="N53">
            <v>4.7357058949961006</v>
          </cell>
        </row>
        <row r="54">
          <cell r="A54" t="str">
            <v>13. Net factor income from abroad</v>
          </cell>
          <cell r="B54">
            <v>-11258</v>
          </cell>
          <cell r="C54">
            <v>-8816</v>
          </cell>
          <cell r="D54">
            <v>-9888</v>
          </cell>
          <cell r="E54">
            <v>-14000</v>
          </cell>
          <cell r="F54">
            <v>-16835.242000000009</v>
          </cell>
          <cell r="G54">
            <v>-14738.850900000005</v>
          </cell>
          <cell r="H54">
            <v>-13966.729000000007</v>
          </cell>
          <cell r="I54">
            <v>-9468.2490838771773</v>
          </cell>
          <cell r="J54">
            <v>-11299.735477814022</v>
          </cell>
          <cell r="K54">
            <v>-13485.88000000001</v>
          </cell>
          <cell r="M54">
            <v>21.691241783620534</v>
          </cell>
          <cell r="N54">
            <v>-12.159709618874773</v>
          </cell>
        </row>
        <row r="55">
          <cell r="A55" t="str">
            <v>14. Gross national product</v>
          </cell>
          <cell r="B55">
            <v>684676</v>
          </cell>
          <cell r="C55">
            <v>730947</v>
          </cell>
          <cell r="D55">
            <v>764908</v>
          </cell>
          <cell r="E55">
            <v>794340</v>
          </cell>
          <cell r="F55">
            <v>840199.75800000003</v>
          </cell>
          <cell r="G55">
            <v>829055.64582328452</v>
          </cell>
          <cell r="H55">
            <v>863281.43161359301</v>
          </cell>
          <cell r="I55">
            <v>920589.10081546823</v>
          </cell>
          <cell r="J55">
            <v>968624.95486078714</v>
          </cell>
          <cell r="M55">
            <v>6.7580870367881962</v>
          </cell>
          <cell r="N55">
            <v>4.6461644961946602</v>
          </cell>
        </row>
        <row r="57">
          <cell r="A57" t="str">
            <v xml:space="preserve">  (a)  Revised                      </v>
          </cell>
        </row>
        <row r="58">
          <cell r="A58" t="str">
            <v xml:space="preserve">  (b)  Provisional                             </v>
          </cell>
        </row>
      </sheetData>
      <sheetData sheetId="1">
        <row r="2">
          <cell r="A2" t="str">
            <v xml:space="preserve">       GrossDdomestic Product at Current Factor Cost Prices - Annual Estimates</v>
          </cell>
        </row>
        <row r="3">
          <cell r="J3" t="str">
            <v>(Rs.Mn)</v>
          </cell>
        </row>
        <row r="4">
          <cell r="A4" t="str">
            <v xml:space="preserve">                        SECTOR</v>
          </cell>
          <cell r="B4">
            <v>1996</v>
          </cell>
          <cell r="C4">
            <v>1997</v>
          </cell>
          <cell r="D4">
            <v>1998</v>
          </cell>
          <cell r="E4">
            <v>1999</v>
          </cell>
          <cell r="F4">
            <v>2000</v>
          </cell>
          <cell r="G4">
            <v>2001</v>
          </cell>
          <cell r="H4" t="str">
            <v>2002(a)</v>
          </cell>
          <cell r="I4" t="str">
            <v>2003(a)</v>
          </cell>
          <cell r="J4" t="str">
            <v>2004(b)</v>
          </cell>
          <cell r="K4" t="str">
            <v>2005(b)</v>
          </cell>
        </row>
        <row r="5">
          <cell r="L5" t="str">
            <v>97/96</v>
          </cell>
          <cell r="M5" t="str">
            <v>98/97</v>
          </cell>
          <cell r="N5" t="str">
            <v>99/98</v>
          </cell>
          <cell r="O5" t="str">
            <v>00/99</v>
          </cell>
          <cell r="P5" t="str">
            <v>01/00</v>
          </cell>
        </row>
        <row r="7">
          <cell r="A7" t="str">
            <v>Agriculture</v>
          </cell>
          <cell r="B7">
            <v>156108</v>
          </cell>
          <cell r="C7">
            <v>175774</v>
          </cell>
          <cell r="D7">
            <v>192665</v>
          </cell>
          <cell r="E7">
            <v>205599</v>
          </cell>
          <cell r="F7">
            <v>223926</v>
          </cell>
          <cell r="G7">
            <v>249790.10553291213</v>
          </cell>
          <cell r="H7">
            <v>287840.48660951667</v>
          </cell>
          <cell r="I7">
            <v>297342.0929316745</v>
          </cell>
          <cell r="J7">
            <v>320200.73952637013</v>
          </cell>
          <cell r="K7">
            <v>346622.308408788</v>
          </cell>
          <cell r="L7">
            <v>12.597688779562866</v>
          </cell>
          <cell r="M7">
            <v>9.6094985606517405</v>
          </cell>
          <cell r="N7">
            <v>6.7132068616510443</v>
          </cell>
          <cell r="O7">
            <v>8.9139538616432858</v>
          </cell>
          <cell r="P7">
            <v>11.550291405603685</v>
          </cell>
        </row>
        <row r="8">
          <cell r="A8" t="str">
            <v>1.  Agriculture, forestry &amp; fishing</v>
          </cell>
          <cell r="B8">
            <v>156108</v>
          </cell>
          <cell r="C8">
            <v>175774</v>
          </cell>
          <cell r="D8">
            <v>192665</v>
          </cell>
          <cell r="E8">
            <v>205599</v>
          </cell>
          <cell r="F8">
            <v>223926</v>
          </cell>
          <cell r="G8">
            <v>249790.10553291213</v>
          </cell>
          <cell r="H8">
            <v>287840.48660951667</v>
          </cell>
          <cell r="I8">
            <v>297342.0929316745</v>
          </cell>
          <cell r="J8">
            <v>320200.73952637013</v>
          </cell>
          <cell r="K8">
            <v>346622.308408788</v>
          </cell>
          <cell r="L8">
            <v>12.597688779562866</v>
          </cell>
          <cell r="M8">
            <v>9.6094985606517405</v>
          </cell>
          <cell r="N8">
            <v>6.7132068616510443</v>
          </cell>
          <cell r="O8">
            <v>8.9139538616432858</v>
          </cell>
          <cell r="P8">
            <v>11.550291405603685</v>
          </cell>
        </row>
        <row r="9">
          <cell r="A9" t="str">
            <v xml:space="preserve">          1.1  Agriculture</v>
          </cell>
          <cell r="B9">
            <v>122594</v>
          </cell>
          <cell r="C9">
            <v>138999</v>
          </cell>
          <cell r="D9">
            <v>153335</v>
          </cell>
          <cell r="E9">
            <v>163481</v>
          </cell>
          <cell r="F9">
            <v>177396</v>
          </cell>
          <cell r="G9">
            <v>199584.47759856304</v>
          </cell>
          <cell r="H9">
            <v>232852.79121496974</v>
          </cell>
          <cell r="I9">
            <v>238240.2341172235</v>
          </cell>
          <cell r="J9">
            <v>257411.47675463252</v>
          </cell>
          <cell r="K9">
            <v>281991.29065903078</v>
          </cell>
          <cell r="L9">
            <v>13.381568429123769</v>
          </cell>
          <cell r="M9">
            <v>10.313743264340026</v>
          </cell>
          <cell r="N9">
            <v>6.6168845990804526</v>
          </cell>
          <cell r="O9">
            <v>8.5116924902588043</v>
          </cell>
          <cell r="P9">
            <v>12.507879320031478</v>
          </cell>
        </row>
        <row r="10">
          <cell r="A10" t="str">
            <v xml:space="preserve">                             Tea</v>
          </cell>
          <cell r="B10">
            <v>10332</v>
          </cell>
          <cell r="C10">
            <v>12685</v>
          </cell>
          <cell r="D10">
            <v>14448</v>
          </cell>
          <cell r="E10">
            <v>12295</v>
          </cell>
          <cell r="F10">
            <v>15551</v>
          </cell>
          <cell r="G10">
            <v>15883.685653200002</v>
          </cell>
          <cell r="H10">
            <v>17314.78301688284</v>
          </cell>
          <cell r="I10">
            <v>16886.714181164683</v>
          </cell>
          <cell r="J10">
            <v>20820.374961578262</v>
          </cell>
          <cell r="K10">
            <v>23785.196356107008</v>
          </cell>
          <cell r="L10">
            <v>22.773906310491675</v>
          </cell>
          <cell r="M10">
            <v>13.898305084745765</v>
          </cell>
          <cell r="N10">
            <v>-14.901716500553707</v>
          </cell>
          <cell r="O10">
            <v>26.482309882065881</v>
          </cell>
          <cell r="P10">
            <v>2.1393200000000112</v>
          </cell>
        </row>
        <row r="11">
          <cell r="A11" t="str">
            <v xml:space="preserve">                             Rubber</v>
          </cell>
          <cell r="B11">
            <v>4011</v>
          </cell>
          <cell r="C11">
            <v>3132</v>
          </cell>
          <cell r="D11">
            <v>2462</v>
          </cell>
          <cell r="E11">
            <v>2253</v>
          </cell>
          <cell r="F11">
            <v>2506</v>
          </cell>
          <cell r="G11">
            <v>2487.4224205599999</v>
          </cell>
          <cell r="H11">
            <v>3243.6081642443169</v>
          </cell>
          <cell r="I11">
            <v>4925.4496444654169</v>
          </cell>
          <cell r="J11">
            <v>6330.2049141536691</v>
          </cell>
          <cell r="K11">
            <v>8014.0394213185446</v>
          </cell>
          <cell r="L11">
            <v>-21.914734480179511</v>
          </cell>
          <cell r="M11">
            <v>-21.392081736909319</v>
          </cell>
          <cell r="N11">
            <v>-8.4890333062550773</v>
          </cell>
          <cell r="O11">
            <v>11.229471815357295</v>
          </cell>
          <cell r="P11">
            <v>-0.74132400000000986</v>
          </cell>
        </row>
        <row r="12">
          <cell r="A12" t="str">
            <v xml:space="preserve">                             Coconut</v>
          </cell>
          <cell r="B12">
            <v>12838</v>
          </cell>
          <cell r="C12">
            <v>14960</v>
          </cell>
          <cell r="D12">
            <v>15573</v>
          </cell>
          <cell r="E12">
            <v>17675</v>
          </cell>
          <cell r="F12">
            <v>13249</v>
          </cell>
          <cell r="G12">
            <v>13250.111193630002</v>
          </cell>
          <cell r="H12">
            <v>20182.899562908166</v>
          </cell>
          <cell r="I12">
            <v>19269.071660338323</v>
          </cell>
          <cell r="J12">
            <v>19062.06575491737</v>
          </cell>
          <cell r="K12">
            <v>20989.240602739515</v>
          </cell>
          <cell r="L12">
            <v>16.529054369839535</v>
          </cell>
          <cell r="M12">
            <v>4.0975935828877041</v>
          </cell>
          <cell r="N12">
            <v>13.497720413536252</v>
          </cell>
          <cell r="O12">
            <v>-25.041018387553038</v>
          </cell>
          <cell r="P12">
            <v>8.3870000000096923E-3</v>
          </cell>
        </row>
        <row r="13">
          <cell r="A13" t="str">
            <v xml:space="preserve">                             Paddy</v>
          </cell>
          <cell r="B13">
            <v>19892</v>
          </cell>
          <cell r="C13">
            <v>24469</v>
          </cell>
          <cell r="D13">
            <v>26842</v>
          </cell>
          <cell r="E13">
            <v>30197</v>
          </cell>
          <cell r="F13">
            <v>32063</v>
          </cell>
          <cell r="G13">
            <v>34731.414318299998</v>
          </cell>
          <cell r="H13">
            <v>41767.463871853608</v>
          </cell>
          <cell r="I13">
            <v>40961.06505607711</v>
          </cell>
          <cell r="J13">
            <v>45082.43810146254</v>
          </cell>
          <cell r="K13">
            <v>53210.801691156244</v>
          </cell>
          <cell r="L13">
            <v>23.009249949728527</v>
          </cell>
          <cell r="M13">
            <v>9.6979852057705642</v>
          </cell>
          <cell r="N13">
            <v>12.499068623798525</v>
          </cell>
          <cell r="O13">
            <v>6.1794217968672349</v>
          </cell>
          <cell r="P13">
            <v>8.3224100000000014</v>
          </cell>
        </row>
        <row r="14">
          <cell r="A14" t="str">
            <v xml:space="preserve">                            Other</v>
          </cell>
          <cell r="B14">
            <v>75521</v>
          </cell>
          <cell r="C14">
            <v>83753</v>
          </cell>
          <cell r="D14">
            <v>94010</v>
          </cell>
          <cell r="E14">
            <v>101061</v>
          </cell>
          <cell r="F14">
            <v>114027</v>
          </cell>
          <cell r="G14">
            <v>133231.84401287304</v>
          </cell>
          <cell r="H14">
            <v>150344.03659908081</v>
          </cell>
          <cell r="I14">
            <v>156197.93357517797</v>
          </cell>
          <cell r="J14">
            <v>166116.39302252067</v>
          </cell>
          <cell r="K14">
            <v>175992.0125877095</v>
          </cell>
          <cell r="L14">
            <v>10.900279392486855</v>
          </cell>
          <cell r="M14">
            <v>12.246725490430199</v>
          </cell>
          <cell r="N14">
            <v>7.5002659291564688</v>
          </cell>
          <cell r="O14">
            <v>12.829875025974413</v>
          </cell>
          <cell r="P14">
            <v>16.842365415974324</v>
          </cell>
        </row>
        <row r="15">
          <cell r="A15" t="str">
            <v xml:space="preserve">                                          Vegetables</v>
          </cell>
          <cell r="B15">
            <v>31189</v>
          </cell>
          <cell r="C15">
            <v>37135</v>
          </cell>
          <cell r="D15">
            <v>43575</v>
          </cell>
          <cell r="E15">
            <v>55616</v>
          </cell>
          <cell r="F15">
            <v>65637</v>
          </cell>
          <cell r="G15">
            <v>77743.696078620007</v>
          </cell>
          <cell r="H15">
            <v>85645.78466077242</v>
          </cell>
          <cell r="I15">
            <v>93532.419715684679</v>
          </cell>
          <cell r="J15">
            <v>101351.7300039159</v>
          </cell>
          <cell r="L15">
            <v>19.064413735611918</v>
          </cell>
          <cell r="M15">
            <v>17.342130065975493</v>
          </cell>
          <cell r="N15">
            <v>27.632816982214582</v>
          </cell>
          <cell r="O15">
            <v>18.018196202531644</v>
          </cell>
          <cell r="P15">
            <v>18.444926000000006</v>
          </cell>
        </row>
        <row r="16">
          <cell r="A16" t="str">
            <v xml:space="preserve">                                          Subsidiary food crops</v>
          </cell>
          <cell r="B16">
            <v>19712</v>
          </cell>
          <cell r="C16">
            <v>18484</v>
          </cell>
          <cell r="D16">
            <v>20810</v>
          </cell>
          <cell r="E16">
            <v>12833</v>
          </cell>
          <cell r="F16">
            <v>13342</v>
          </cell>
          <cell r="G16">
            <v>14713.003373320002</v>
          </cell>
          <cell r="H16">
            <v>16213.894414929757</v>
          </cell>
          <cell r="I16">
            <v>15725.078734279421</v>
          </cell>
          <cell r="J16">
            <v>16545.927844208807</v>
          </cell>
          <cell r="L16">
            <v>-6.2297077922077948</v>
          </cell>
          <cell r="M16">
            <v>12.583856308158413</v>
          </cell>
          <cell r="N16">
            <v>-38.332532436328691</v>
          </cell>
          <cell r="O16">
            <v>3.9663367879685163</v>
          </cell>
          <cell r="P16">
            <v>10.275846000000023</v>
          </cell>
        </row>
        <row r="17">
          <cell r="A17" t="str">
            <v xml:space="preserve">                                          Minor export crops</v>
          </cell>
          <cell r="B17">
            <v>7137</v>
          </cell>
          <cell r="C17">
            <v>8588</v>
          </cell>
          <cell r="D17">
            <v>10681</v>
          </cell>
          <cell r="E17">
            <v>11382</v>
          </cell>
          <cell r="F17">
            <v>11484</v>
          </cell>
          <cell r="G17">
            <v>10694.132317439999</v>
          </cell>
          <cell r="H17">
            <v>14707.597399645962</v>
          </cell>
          <cell r="I17">
            <v>10313.261448579742</v>
          </cell>
          <cell r="J17">
            <v>11344.587593437718</v>
          </cell>
          <cell r="L17">
            <v>20.330671150343282</v>
          </cell>
          <cell r="M17">
            <v>24.371215649743828</v>
          </cell>
          <cell r="N17">
            <v>6.5630558936429217</v>
          </cell>
          <cell r="O17">
            <v>0.89615181866105065</v>
          </cell>
          <cell r="P17">
            <v>-6.8779840000000148</v>
          </cell>
        </row>
        <row r="18">
          <cell r="A18" t="str">
            <v xml:space="preserve">                                         Sugarcane</v>
          </cell>
          <cell r="B18">
            <v>1260</v>
          </cell>
          <cell r="C18">
            <v>1203</v>
          </cell>
          <cell r="D18">
            <v>1306</v>
          </cell>
          <cell r="E18">
            <v>1530</v>
          </cell>
          <cell r="F18">
            <v>2253</v>
          </cell>
          <cell r="G18">
            <v>2106.1100283122682</v>
          </cell>
          <cell r="H18">
            <v>1476.5976868700077</v>
          </cell>
          <cell r="I18">
            <v>1150.272672029746</v>
          </cell>
          <cell r="J18">
            <v>1396.2009693097057</v>
          </cell>
          <cell r="L18">
            <v>-4.5238095238095184</v>
          </cell>
          <cell r="M18">
            <v>8.5619285120531963</v>
          </cell>
          <cell r="N18">
            <v>17.151607963246551</v>
          </cell>
          <cell r="O18">
            <v>47.254901960784323</v>
          </cell>
          <cell r="P18">
            <v>-6.5197501858735851</v>
          </cell>
        </row>
        <row r="19">
          <cell r="A19" t="str">
            <v xml:space="preserve">                                         Tobacco</v>
          </cell>
          <cell r="B19">
            <v>1496</v>
          </cell>
          <cell r="C19">
            <v>1576</v>
          </cell>
          <cell r="D19">
            <v>1507</v>
          </cell>
          <cell r="E19">
            <v>1700</v>
          </cell>
          <cell r="F19">
            <v>1695</v>
          </cell>
          <cell r="G19">
            <v>1827.9797503499999</v>
          </cell>
          <cell r="H19">
            <v>2035.6321079777986</v>
          </cell>
          <cell r="I19">
            <v>1995.8685589322663</v>
          </cell>
          <cell r="J19">
            <v>2095.6619868788798</v>
          </cell>
          <cell r="L19">
            <v>5.3475935828876997</v>
          </cell>
          <cell r="M19">
            <v>-4.3781725888324852</v>
          </cell>
          <cell r="N19">
            <v>12.806901128069015</v>
          </cell>
          <cell r="O19">
            <v>-0.29411764705882248</v>
          </cell>
          <cell r="P19">
            <v>7.84541299999999</v>
          </cell>
        </row>
        <row r="20">
          <cell r="A20" t="str">
            <v xml:space="preserve">                                         Animal husbandry</v>
          </cell>
          <cell r="B20">
            <v>6065</v>
          </cell>
          <cell r="C20">
            <v>7017</v>
          </cell>
          <cell r="D20">
            <v>7055</v>
          </cell>
          <cell r="E20">
            <v>8300</v>
          </cell>
          <cell r="F20">
            <v>10206</v>
          </cell>
          <cell r="G20">
            <v>13626.737169230768</v>
          </cell>
          <cell r="H20">
            <v>15948.557328077504</v>
          </cell>
          <cell r="I20">
            <v>18387.388877431695</v>
          </cell>
          <cell r="J20">
            <v>19858.379987626231</v>
          </cell>
          <cell r="L20">
            <v>15.696619950535862</v>
          </cell>
          <cell r="M20">
            <v>0.54154196950264577</v>
          </cell>
          <cell r="N20">
            <v>17.647058823529417</v>
          </cell>
          <cell r="O20">
            <v>22.963855421686752</v>
          </cell>
          <cell r="P20">
            <v>33.516923076923064</v>
          </cell>
        </row>
        <row r="21">
          <cell r="A21" t="str">
            <v xml:space="preserve">                                        Other</v>
          </cell>
          <cell r="B21">
            <v>8662</v>
          </cell>
          <cell r="C21">
            <v>9750</v>
          </cell>
          <cell r="D21">
            <v>9076</v>
          </cell>
          <cell r="E21">
            <v>9700</v>
          </cell>
          <cell r="F21">
            <v>9410</v>
          </cell>
          <cell r="G21">
            <v>12520.185295600002</v>
          </cell>
          <cell r="H21">
            <v>14315.973000807326</v>
          </cell>
          <cell r="I21">
            <v>15093.643568240423</v>
          </cell>
          <cell r="J21">
            <v>13523.90463714342</v>
          </cell>
          <cell r="L21">
            <v>12.560609558993296</v>
          </cell>
          <cell r="M21">
            <v>-6.9128205128205167</v>
          </cell>
          <cell r="N21">
            <v>6.8752754517408476</v>
          </cell>
          <cell r="O21">
            <v>-2.989690721649485</v>
          </cell>
          <cell r="P21">
            <v>33.051916000000013</v>
          </cell>
        </row>
        <row r="22">
          <cell r="A22" t="str">
            <v xml:space="preserve">        1.2  Forestry</v>
          </cell>
          <cell r="B22">
            <v>14751</v>
          </cell>
          <cell r="C22">
            <v>15362</v>
          </cell>
          <cell r="D22">
            <v>15669</v>
          </cell>
          <cell r="E22">
            <v>16280</v>
          </cell>
          <cell r="F22">
            <v>17144</v>
          </cell>
          <cell r="G22">
            <v>19061.783274029091</v>
          </cell>
          <cell r="H22">
            <v>20567.01630882734</v>
          </cell>
          <cell r="I22">
            <v>24659.914267823704</v>
          </cell>
          <cell r="J22">
            <v>28977.257563301551</v>
          </cell>
          <cell r="K22">
            <v>35468.163257481101</v>
          </cell>
          <cell r="L22">
            <v>4.1420920615551582</v>
          </cell>
          <cell r="M22">
            <v>1.9984377034240275</v>
          </cell>
          <cell r="N22">
            <v>3.8994192354330215</v>
          </cell>
          <cell r="O22">
            <v>5.3071253071253155</v>
          </cell>
          <cell r="P22">
            <v>11.186323343613447</v>
          </cell>
        </row>
        <row r="23">
          <cell r="A23" t="str">
            <v xml:space="preserve">        1.3  Fishing</v>
          </cell>
          <cell r="B23">
            <v>18763</v>
          </cell>
          <cell r="C23">
            <v>21413</v>
          </cell>
          <cell r="D23">
            <v>23661</v>
          </cell>
          <cell r="E23">
            <v>25838</v>
          </cell>
          <cell r="F23">
            <v>29386</v>
          </cell>
          <cell r="G23">
            <v>31143.844660320006</v>
          </cell>
          <cell r="H23">
            <v>34420.679085719545</v>
          </cell>
          <cell r="I23">
            <v>34441.944546627274</v>
          </cell>
          <cell r="J23">
            <v>33812.00520843605</v>
          </cell>
          <cell r="K23">
            <v>29162.854492276092</v>
          </cell>
          <cell r="L23">
            <v>14.123541011565322</v>
          </cell>
          <cell r="M23">
            <v>10.498295428011017</v>
          </cell>
          <cell r="N23">
            <v>9.2007945564430926</v>
          </cell>
          <cell r="O23">
            <v>13.731712980880872</v>
          </cell>
          <cell r="P23">
            <v>5.9819120000000225</v>
          </cell>
        </row>
        <row r="24">
          <cell r="A24" t="str">
            <v>Industry</v>
          </cell>
          <cell r="B24">
            <v>184056</v>
          </cell>
          <cell r="C24">
            <v>216177</v>
          </cell>
          <cell r="D24">
            <v>251401</v>
          </cell>
          <cell r="E24">
            <v>271388</v>
          </cell>
          <cell r="F24">
            <v>306977</v>
          </cell>
          <cell r="G24">
            <v>333864.20568834175</v>
          </cell>
          <cell r="H24">
            <v>368695.35036580765</v>
          </cell>
          <cell r="I24">
            <v>412774.3331077827</v>
          </cell>
          <cell r="J24">
            <v>481692.88873330987</v>
          </cell>
          <cell r="K24">
            <v>565714.4352850127</v>
          </cell>
          <cell r="L24">
            <v>17.451753814056591</v>
          </cell>
          <cell r="M24">
            <v>16.294055334286249</v>
          </cell>
          <cell r="N24">
            <v>7.9502468168384466</v>
          </cell>
          <cell r="O24">
            <v>13.113696994708679</v>
          </cell>
          <cell r="P24">
            <v>8.7587036450098132</v>
          </cell>
        </row>
        <row r="25">
          <cell r="A25" t="str">
            <v>2.  Mining &amp; quarrying</v>
          </cell>
          <cell r="B25">
            <v>13927</v>
          </cell>
          <cell r="C25">
            <v>16587</v>
          </cell>
          <cell r="D25">
            <v>17433</v>
          </cell>
          <cell r="E25">
            <v>18322</v>
          </cell>
          <cell r="F25">
            <v>21547</v>
          </cell>
          <cell r="G25">
            <v>23959.034864120134</v>
          </cell>
          <cell r="H25">
            <v>25821.069051023573</v>
          </cell>
          <cell r="I25">
            <v>27489.138708208793</v>
          </cell>
          <cell r="J25">
            <v>35964.881265835065</v>
          </cell>
          <cell r="K25">
            <v>42606.621597907055</v>
          </cell>
          <cell r="L25">
            <v>19.099590723055936</v>
          </cell>
          <cell r="M25">
            <v>5.1003798155181856</v>
          </cell>
          <cell r="N25">
            <v>5.0995238914701924</v>
          </cell>
          <cell r="O25">
            <v>17.601790197576683</v>
          </cell>
          <cell r="P25">
            <v>11.194295559103985</v>
          </cell>
        </row>
        <row r="26">
          <cell r="A26" t="str">
            <v xml:space="preserve">       2.1  Mining</v>
          </cell>
          <cell r="B26">
            <v>5306</v>
          </cell>
          <cell r="C26">
            <v>5714</v>
          </cell>
          <cell r="D26">
            <v>4372</v>
          </cell>
          <cell r="E26">
            <v>4711</v>
          </cell>
          <cell r="F26">
            <v>6983</v>
          </cell>
          <cell r="G26">
            <v>7215.6577461636662</v>
          </cell>
          <cell r="H26">
            <v>8103.1836489417974</v>
          </cell>
          <cell r="I26">
            <v>7535.2661926476067</v>
          </cell>
          <cell r="J26">
            <v>10877.231024351226</v>
          </cell>
          <cell r="K26">
            <v>12332.07320523035</v>
          </cell>
          <cell r="L26">
            <v>7.6894082171127032</v>
          </cell>
          <cell r="M26">
            <v>-23.486174308715434</v>
          </cell>
          <cell r="N26">
            <v>7.7538883806038461</v>
          </cell>
          <cell r="O26">
            <v>48.227552536616436</v>
          </cell>
          <cell r="P26">
            <v>3.3317735380734126</v>
          </cell>
        </row>
        <row r="27">
          <cell r="A27" t="str">
            <v xml:space="preserve">       2.2  Quarrying</v>
          </cell>
          <cell r="B27">
            <v>8621</v>
          </cell>
          <cell r="C27">
            <v>10873</v>
          </cell>
          <cell r="D27">
            <v>13061</v>
          </cell>
          <cell r="E27">
            <v>13611</v>
          </cell>
          <cell r="F27">
            <v>14564</v>
          </cell>
          <cell r="G27">
            <v>16743.377117956468</v>
          </cell>
          <cell r="H27">
            <v>17717.885402081774</v>
          </cell>
          <cell r="I27">
            <v>19953.872515561186</v>
          </cell>
          <cell r="J27">
            <v>25087.650241483843</v>
          </cell>
          <cell r="K27">
            <v>30274.548392676705</v>
          </cell>
          <cell r="L27">
            <v>26.122259598654441</v>
          </cell>
          <cell r="M27">
            <v>20.123241055826369</v>
          </cell>
          <cell r="N27">
            <v>4.2110098767322635</v>
          </cell>
          <cell r="O27">
            <v>7.0016898097127411</v>
          </cell>
          <cell r="P27">
            <v>14.964138409478632</v>
          </cell>
        </row>
        <row r="28">
          <cell r="A28" t="str">
            <v>3.  Manufacturing</v>
          </cell>
          <cell r="B28">
            <v>112724</v>
          </cell>
          <cell r="C28">
            <v>131876</v>
          </cell>
          <cell r="D28">
            <v>151007</v>
          </cell>
          <cell r="E28">
            <v>163103</v>
          </cell>
          <cell r="F28">
            <v>189331</v>
          </cell>
          <cell r="G28">
            <v>198721.45383855081</v>
          </cell>
          <cell r="H28">
            <v>221970.49929499536</v>
          </cell>
          <cell r="I28">
            <v>243596.46807434398</v>
          </cell>
          <cell r="J28">
            <v>275629.94164937036</v>
          </cell>
          <cell r="K28">
            <v>317798.30294719094</v>
          </cell>
          <cell r="L28">
            <v>16.99017068237465</v>
          </cell>
          <cell r="M28">
            <v>14.506809427037526</v>
          </cell>
          <cell r="N28">
            <v>8.010224691570599</v>
          </cell>
          <cell r="O28">
            <v>16.080636162424966</v>
          </cell>
          <cell r="P28">
            <v>4.9598078701062143</v>
          </cell>
        </row>
        <row r="29">
          <cell r="A29" t="str">
            <v>3.1     Processing    of  tea,     rubber    &amp;         coconut  kernel   product</v>
          </cell>
          <cell r="B29">
            <v>16203</v>
          </cell>
          <cell r="C29">
            <v>19476</v>
          </cell>
          <cell r="D29">
            <v>23176</v>
          </cell>
          <cell r="E29">
            <v>24821</v>
          </cell>
          <cell r="F29">
            <v>28197</v>
          </cell>
          <cell r="G29">
            <v>28556.482669983725</v>
          </cell>
          <cell r="H29">
            <v>35015.439321836326</v>
          </cell>
          <cell r="I29">
            <v>35925.798277842587</v>
          </cell>
          <cell r="J29">
            <v>41906.344217398291</v>
          </cell>
          <cell r="K29">
            <v>48317.965271713285</v>
          </cell>
          <cell r="L29">
            <v>20.199962969820405</v>
          </cell>
          <cell r="M29">
            <v>18.997740809201069</v>
          </cell>
          <cell r="N29">
            <v>7.0978598550224481</v>
          </cell>
          <cell r="O29">
            <v>13.601385923210184</v>
          </cell>
          <cell r="P29">
            <v>1.2748968684034745</v>
          </cell>
        </row>
        <row r="30">
          <cell r="A30" t="str">
            <v xml:space="preserve">       3.2  Factory industry</v>
          </cell>
          <cell r="B30">
            <v>87771</v>
          </cell>
          <cell r="C30">
            <v>102253</v>
          </cell>
          <cell r="D30">
            <v>116568</v>
          </cell>
          <cell r="E30">
            <v>125892</v>
          </cell>
          <cell r="F30">
            <v>147295</v>
          </cell>
          <cell r="G30">
            <v>155495.61681515275</v>
          </cell>
          <cell r="H30">
            <v>170539.81774201876</v>
          </cell>
          <cell r="I30">
            <v>189801.26691707334</v>
          </cell>
          <cell r="J30">
            <v>214549.64391165745</v>
          </cell>
          <cell r="K30">
            <v>248512.85254287283</v>
          </cell>
          <cell r="L30">
            <v>16.49975504437684</v>
          </cell>
          <cell r="M30">
            <v>13.999589254105004</v>
          </cell>
          <cell r="N30">
            <v>7.9987646695490966</v>
          </cell>
          <cell r="O30">
            <v>17.001080291043124</v>
          </cell>
          <cell r="P30">
            <v>5.5674780645322386</v>
          </cell>
        </row>
        <row r="31">
          <cell r="A31" t="str">
            <v xml:space="preserve">       3.3  Small industry</v>
          </cell>
          <cell r="B31">
            <v>8750</v>
          </cell>
          <cell r="C31">
            <v>10147</v>
          </cell>
          <cell r="D31">
            <v>11263</v>
          </cell>
          <cell r="E31">
            <v>12390</v>
          </cell>
          <cell r="F31">
            <v>13839</v>
          </cell>
          <cell r="G31">
            <v>14669.354353414326</v>
          </cell>
          <cell r="H31">
            <v>16415.242231140284</v>
          </cell>
          <cell r="I31">
            <v>17869.402879428075</v>
          </cell>
          <cell r="J31">
            <v>19173.953520314619</v>
          </cell>
          <cell r="K31">
            <v>20967.485132604852</v>
          </cell>
          <cell r="L31">
            <v>15.965714285714295</v>
          </cell>
          <cell r="M31">
            <v>10.998324627968859</v>
          </cell>
          <cell r="N31">
            <v>10.006215040397759</v>
          </cell>
          <cell r="O31">
            <v>11.694915254237293</v>
          </cell>
          <cell r="P31">
            <v>6.0001037171351079</v>
          </cell>
        </row>
        <row r="32">
          <cell r="A32" t="str">
            <v>4.  Construction</v>
          </cell>
          <cell r="B32">
            <v>48234</v>
          </cell>
          <cell r="C32">
            <v>56434</v>
          </cell>
          <cell r="D32">
            <v>69301</v>
          </cell>
          <cell r="E32">
            <v>75538</v>
          </cell>
          <cell r="F32">
            <v>82684</v>
          </cell>
          <cell r="G32">
            <v>95056.94820249331</v>
          </cell>
          <cell r="H32">
            <v>100589.51088888558</v>
          </cell>
          <cell r="I32">
            <v>113283.85025244858</v>
          </cell>
          <cell r="J32">
            <v>142429.77702326627</v>
          </cell>
          <cell r="K32">
            <v>171877.28366520739</v>
          </cell>
          <cell r="L32">
            <v>17.000456109798058</v>
          </cell>
          <cell r="M32">
            <v>22.800085055108621</v>
          </cell>
          <cell r="N32">
            <v>8.9998701317441245</v>
          </cell>
          <cell r="O32">
            <v>9.4601392676533678</v>
          </cell>
          <cell r="P32">
            <v>14.964138409478632</v>
          </cell>
        </row>
        <row r="33">
          <cell r="A33" t="str">
            <v>5.  Electricity, water and gas</v>
          </cell>
          <cell r="B33">
            <v>9171</v>
          </cell>
          <cell r="C33">
            <v>11280</v>
          </cell>
          <cell r="D33">
            <v>13660</v>
          </cell>
          <cell r="E33">
            <v>14425</v>
          </cell>
          <cell r="F33">
            <v>13415</v>
          </cell>
          <cell r="G33">
            <v>16126.768783177491</v>
          </cell>
          <cell r="H33">
            <v>20314.271130903173</v>
          </cell>
          <cell r="I33">
            <v>28404.876072781317</v>
          </cell>
          <cell r="J33">
            <v>27668.28879483819</v>
          </cell>
          <cell r="K33">
            <v>33432.227074707414</v>
          </cell>
          <cell r="L33">
            <v>22.996401701014069</v>
          </cell>
          <cell r="M33">
            <v>21.099290780141857</v>
          </cell>
          <cell r="N33">
            <v>5.6002928257686602</v>
          </cell>
          <cell r="O33">
            <v>-7.0017331022530378</v>
          </cell>
          <cell r="P33">
            <v>20.214452353168035</v>
          </cell>
        </row>
        <row r="34">
          <cell r="A34" t="str">
            <v xml:space="preserve">       5.1  Electricity</v>
          </cell>
          <cell r="B34">
            <v>7973</v>
          </cell>
          <cell r="C34">
            <v>9965</v>
          </cell>
          <cell r="D34">
            <v>12072</v>
          </cell>
          <cell r="E34">
            <v>12694</v>
          </cell>
          <cell r="F34">
            <v>11443</v>
          </cell>
          <cell r="G34">
            <v>13731.6</v>
          </cell>
          <cell r="H34">
            <v>17455.1581544242</v>
          </cell>
          <cell r="I34">
            <v>25130.462640903894</v>
          </cell>
          <cell r="J34">
            <v>24241.477909801324</v>
          </cell>
          <cell r="K34">
            <v>29875.197376039148</v>
          </cell>
          <cell r="L34">
            <v>24.984322087043775</v>
          </cell>
          <cell r="M34">
            <v>21.144004014049166</v>
          </cell>
          <cell r="N34">
            <v>5.1524188204108645</v>
          </cell>
          <cell r="O34">
            <v>-9.8550496297463379</v>
          </cell>
          <cell r="P34">
            <v>19.999999999999996</v>
          </cell>
        </row>
        <row r="35">
          <cell r="A35" t="str">
            <v xml:space="preserve">       5.2  Water and gas</v>
          </cell>
          <cell r="B35">
            <v>1198</v>
          </cell>
          <cell r="C35">
            <v>1315</v>
          </cell>
          <cell r="D35">
            <v>1588</v>
          </cell>
          <cell r="E35">
            <v>1731</v>
          </cell>
          <cell r="F35">
            <v>1972</v>
          </cell>
          <cell r="G35">
            <v>2395.1687831774912</v>
          </cell>
          <cell r="H35">
            <v>2859.1129764789712</v>
          </cell>
          <cell r="I35">
            <v>3274.413431877424</v>
          </cell>
          <cell r="J35">
            <v>3426.8108850368671</v>
          </cell>
          <cell r="K35">
            <v>3557.0296986682683</v>
          </cell>
          <cell r="L35">
            <v>9.7662771285475856</v>
          </cell>
          <cell r="M35">
            <v>20.760456273764262</v>
          </cell>
          <cell r="N35">
            <v>9.0050377833753146</v>
          </cell>
          <cell r="O35">
            <v>13.92258809936453</v>
          </cell>
          <cell r="P35">
            <v>21.45886324429469</v>
          </cell>
        </row>
        <row r="36">
          <cell r="A36" t="str">
            <v>Services</v>
          </cell>
          <cell r="B36">
            <v>355770</v>
          </cell>
          <cell r="C36">
            <v>411747</v>
          </cell>
          <cell r="D36">
            <v>468773</v>
          </cell>
          <cell r="E36">
            <v>517743</v>
          </cell>
          <cell r="F36">
            <v>594356</v>
          </cell>
          <cell r="G36">
            <v>661943.59937881108</v>
          </cell>
          <cell r="H36">
            <v>746750.63703075715</v>
          </cell>
          <cell r="I36">
            <v>852620.86060828913</v>
          </cell>
          <cell r="J36">
            <v>996047.5594053627</v>
          </cell>
          <cell r="K36">
            <v>1175809.0098116426</v>
          </cell>
          <cell r="L36">
            <v>15.734041656126152</v>
          </cell>
          <cell r="M36">
            <v>13.849766968551069</v>
          </cell>
          <cell r="N36">
            <v>10.446420762287921</v>
          </cell>
          <cell r="O36">
            <v>14.797496054992543</v>
          </cell>
          <cell r="P36">
            <v>11.371568450358227</v>
          </cell>
        </row>
        <row r="37">
          <cell r="A37" t="str">
            <v>6.  Transport, storage and communication</v>
          </cell>
          <cell r="B37">
            <v>73784</v>
          </cell>
          <cell r="C37">
            <v>86327</v>
          </cell>
          <cell r="D37">
            <v>101620</v>
          </cell>
          <cell r="E37">
            <v>113814</v>
          </cell>
          <cell r="F37">
            <v>131669</v>
          </cell>
          <cell r="G37">
            <v>150436.73781949465</v>
          </cell>
          <cell r="H37">
            <v>173890.06088222776</v>
          </cell>
          <cell r="I37">
            <v>214036.11235707719</v>
          </cell>
          <cell r="J37">
            <v>255654.0568493818</v>
          </cell>
          <cell r="K37">
            <v>303640.2744363072</v>
          </cell>
          <cell r="L37">
            <v>16.999620513932555</v>
          </cell>
          <cell r="M37">
            <v>17.715199184496157</v>
          </cell>
          <cell r="N37">
            <v>11.999606376697503</v>
          </cell>
          <cell r="O37">
            <v>15.68787671112517</v>
          </cell>
          <cell r="P37">
            <v>14.253725493088453</v>
          </cell>
        </row>
        <row r="38">
          <cell r="A38" t="str">
            <v xml:space="preserve">      6.1  Port services</v>
          </cell>
          <cell r="B38">
            <v>5163</v>
          </cell>
          <cell r="C38">
            <v>7212</v>
          </cell>
          <cell r="D38">
            <v>9579</v>
          </cell>
          <cell r="E38">
            <v>10111</v>
          </cell>
          <cell r="F38">
            <v>10781</v>
          </cell>
          <cell r="G38">
            <v>11895.180618815612</v>
          </cell>
          <cell r="H38">
            <v>12712.805500217008</v>
          </cell>
          <cell r="I38">
            <v>14874.592649917911</v>
          </cell>
          <cell r="J38">
            <v>17305.1010889145</v>
          </cell>
          <cell r="K38">
            <v>20350.798880563456</v>
          </cell>
          <cell r="L38">
            <v>39.686228936664733</v>
          </cell>
          <cell r="M38">
            <v>32.820299500831936</v>
          </cell>
          <cell r="N38">
            <v>5.5538156383756032</v>
          </cell>
          <cell r="O38">
            <v>6.6264464444664162</v>
          </cell>
          <cell r="P38">
            <v>10.334668572633454</v>
          </cell>
        </row>
        <row r="39">
          <cell r="A39" t="str">
            <v xml:space="preserve">      6.2  Telecommunications</v>
          </cell>
          <cell r="B39">
            <v>5979</v>
          </cell>
          <cell r="C39">
            <v>9223</v>
          </cell>
          <cell r="D39">
            <v>14468</v>
          </cell>
          <cell r="E39">
            <v>20895</v>
          </cell>
          <cell r="F39">
            <v>27463</v>
          </cell>
          <cell r="G39">
            <v>37301.185834600001</v>
          </cell>
          <cell r="H39">
            <v>49074.475564918539</v>
          </cell>
          <cell r="I39">
            <v>70262.380390072125</v>
          </cell>
          <cell r="J39">
            <v>92707.602334063587</v>
          </cell>
          <cell r="K39">
            <v>118758.43858993547</v>
          </cell>
          <cell r="L39">
            <v>54.256564642916885</v>
          </cell>
          <cell r="M39">
            <v>56.868697820665723</v>
          </cell>
          <cell r="N39">
            <v>44.422173071606295</v>
          </cell>
          <cell r="O39">
            <v>31.43335726250298</v>
          </cell>
          <cell r="P39">
            <v>35.823420000000006</v>
          </cell>
        </row>
        <row r="40">
          <cell r="A40" t="str">
            <v xml:space="preserve">      6.3  Transport</v>
          </cell>
          <cell r="B40">
            <v>62642</v>
          </cell>
          <cell r="C40">
            <v>69892</v>
          </cell>
          <cell r="D40">
            <v>77573</v>
          </cell>
          <cell r="E40">
            <v>82808</v>
          </cell>
          <cell r="F40">
            <v>93425</v>
          </cell>
          <cell r="G40">
            <v>101240.37136607904</v>
          </cell>
          <cell r="H40">
            <v>112102.77981709222</v>
          </cell>
          <cell r="I40">
            <v>128899.13931708715</v>
          </cell>
          <cell r="J40">
            <v>145641.35342640372</v>
          </cell>
          <cell r="K40">
            <v>164531.03696580828</v>
          </cell>
          <cell r="L40">
            <v>11.573704543277664</v>
          </cell>
          <cell r="M40">
            <v>10.989812854117776</v>
          </cell>
          <cell r="N40">
            <v>6.7484820749487584</v>
          </cell>
          <cell r="O40">
            <v>12.821225002415225</v>
          </cell>
          <cell r="P40">
            <v>8.3653961638523242</v>
          </cell>
        </row>
        <row r="41">
          <cell r="A41" t="str">
            <v>7.  Wholesale and retail trade</v>
          </cell>
          <cell r="B41">
            <v>155316</v>
          </cell>
          <cell r="C41">
            <v>177123</v>
          </cell>
          <cell r="D41">
            <v>196262</v>
          </cell>
          <cell r="E41">
            <v>211376</v>
          </cell>
          <cell r="F41">
            <v>254100</v>
          </cell>
          <cell r="G41">
            <v>263222.52756912122</v>
          </cell>
          <cell r="H41">
            <v>288257.15391424956</v>
          </cell>
          <cell r="I41">
            <v>313949.19098583865</v>
          </cell>
          <cell r="J41">
            <v>369727.20195696573</v>
          </cell>
          <cell r="K41">
            <v>435959.3693859909</v>
          </cell>
          <cell r="L41">
            <v>14.040407942517197</v>
          </cell>
          <cell r="M41">
            <v>10.805485453611329</v>
          </cell>
          <cell r="N41">
            <v>7.7009303889698399</v>
          </cell>
          <cell r="O41">
            <v>20.212323064113246</v>
          </cell>
          <cell r="P41">
            <v>3.5901328489261086</v>
          </cell>
        </row>
        <row r="42">
          <cell r="A42" t="str">
            <v xml:space="preserve">      7.1  Imports</v>
          </cell>
          <cell r="B42">
            <v>64629</v>
          </cell>
          <cell r="C42">
            <v>74129</v>
          </cell>
          <cell r="D42">
            <v>81469</v>
          </cell>
          <cell r="E42">
            <v>88882</v>
          </cell>
          <cell r="F42">
            <v>116702</v>
          </cell>
          <cell r="G42">
            <v>116731.03988590308</v>
          </cell>
          <cell r="H42">
            <v>127691.79832142206</v>
          </cell>
          <cell r="I42">
            <v>140808.156321777</v>
          </cell>
          <cell r="J42">
            <v>177001.92701894257</v>
          </cell>
          <cell r="K42">
            <v>216084.07582358914</v>
          </cell>
          <cell r="L42">
            <v>14.699283603335967</v>
          </cell>
          <cell r="M42">
            <v>9.9016579206518287</v>
          </cell>
          <cell r="N42">
            <v>9.0991665541494413</v>
          </cell>
          <cell r="O42">
            <v>31.299925744245183</v>
          </cell>
          <cell r="P42">
            <v>2.4883794539154458E-2</v>
          </cell>
        </row>
        <row r="43">
          <cell r="A43" t="str">
            <v xml:space="preserve">      7.2  Exports</v>
          </cell>
          <cell r="B43">
            <v>16365</v>
          </cell>
          <cell r="C43">
            <v>19753</v>
          </cell>
          <cell r="D43">
            <v>22064</v>
          </cell>
          <cell r="E43">
            <v>23366</v>
          </cell>
          <cell r="F43">
            <v>30142</v>
          </cell>
          <cell r="G43">
            <v>30681.224634512164</v>
          </cell>
          <cell r="H43">
            <v>32041.302470150869</v>
          </cell>
          <cell r="I43">
            <v>35320.990674786975</v>
          </cell>
          <cell r="J43">
            <v>41529.543093243134</v>
          </cell>
          <cell r="K43">
            <v>46457.56902973519</v>
          </cell>
          <cell r="L43">
            <v>20.702719217842947</v>
          </cell>
          <cell r="M43">
            <v>11.699488685263004</v>
          </cell>
          <cell r="N43">
            <v>5.9010152284263873</v>
          </cell>
          <cell r="O43">
            <v>28.99940083882564</v>
          </cell>
          <cell r="P43">
            <v>1.7889477622989869</v>
          </cell>
        </row>
        <row r="44">
          <cell r="A44" t="str">
            <v xml:space="preserve">      7.3  Domestic</v>
          </cell>
          <cell r="B44">
            <v>74322</v>
          </cell>
          <cell r="C44">
            <v>83241</v>
          </cell>
          <cell r="D44">
            <v>92729</v>
          </cell>
          <cell r="E44">
            <v>99128</v>
          </cell>
          <cell r="F44">
            <v>107256</v>
          </cell>
          <cell r="G44">
            <v>115810.26304870599</v>
          </cell>
          <cell r="H44">
            <v>128524.05312267662</v>
          </cell>
          <cell r="I44">
            <v>137820.04398927465</v>
          </cell>
          <cell r="J44">
            <v>151195.73184478001</v>
          </cell>
          <cell r="K44">
            <v>173417.72453266653</v>
          </cell>
          <cell r="L44">
            <v>12.000484378784204</v>
          </cell>
          <cell r="M44">
            <v>11.398229237995693</v>
          </cell>
          <cell r="N44">
            <v>6.9007538094878695</v>
          </cell>
          <cell r="O44">
            <v>8.1994996368331954</v>
          </cell>
          <cell r="P44">
            <v>7.9755566576284798</v>
          </cell>
        </row>
        <row r="45">
          <cell r="A45" t="str">
            <v>8.  Banking, insurance and real estate</v>
          </cell>
          <cell r="B45">
            <v>49675</v>
          </cell>
          <cell r="C45">
            <v>59610</v>
          </cell>
          <cell r="D45">
            <v>69267</v>
          </cell>
          <cell r="E45">
            <v>80696</v>
          </cell>
          <cell r="F45">
            <v>85668</v>
          </cell>
          <cell r="G45">
            <v>105589.78721217837</v>
          </cell>
          <cell r="H45">
            <v>122506.97869552742</v>
          </cell>
          <cell r="I45">
            <v>155338.84898592878</v>
          </cell>
          <cell r="J45">
            <v>177893.03556353727</v>
          </cell>
          <cell r="K45">
            <v>209865.4008195255</v>
          </cell>
          <cell r="L45">
            <v>19.999999999999996</v>
          </cell>
          <cell r="M45">
            <v>16.200301962757923</v>
          </cell>
          <cell r="N45">
            <v>16.499920597109742</v>
          </cell>
          <cell r="O45">
            <v>6.1613958560523541</v>
          </cell>
          <cell r="P45">
            <v>23.254642587872219</v>
          </cell>
        </row>
        <row r="46">
          <cell r="A46" t="str">
            <v xml:space="preserve">     8.1   Banking</v>
          </cell>
          <cell r="B46">
            <v>17019.744875008037</v>
          </cell>
          <cell r="C46">
            <v>20355.614870509609</v>
          </cell>
          <cell r="D46">
            <v>24365.671000000002</v>
          </cell>
          <cell r="E46">
            <v>24374.620915000014</v>
          </cell>
          <cell r="F46">
            <v>25959.781580000006</v>
          </cell>
          <cell r="G46">
            <v>28260.716000000022</v>
          </cell>
          <cell r="H46">
            <v>34282.677000000003</v>
          </cell>
          <cell r="I46">
            <v>48769.624999999993</v>
          </cell>
          <cell r="J46">
            <v>51636</v>
          </cell>
          <cell r="K46">
            <v>64545</v>
          </cell>
          <cell r="L46">
            <v>19.599999999999994</v>
          </cell>
          <cell r="M46">
            <v>19.700000000000006</v>
          </cell>
          <cell r="N46">
            <v>3.6731658241673237E-2</v>
          </cell>
          <cell r="O46">
            <v>6.5033243820604048</v>
          </cell>
          <cell r="P46">
            <v>8.8634583188200047</v>
          </cell>
        </row>
        <row r="47">
          <cell r="A47" t="str">
            <v xml:space="preserve">     8.2   Insurance, real estate and other financial services</v>
          </cell>
          <cell r="B47">
            <v>32655.255124991963</v>
          </cell>
          <cell r="C47">
            <v>39254.385129490387</v>
          </cell>
          <cell r="D47">
            <v>44901.328999999998</v>
          </cell>
          <cell r="E47">
            <v>56321.379084999986</v>
          </cell>
          <cell r="F47">
            <v>59708.21841999999</v>
          </cell>
          <cell r="G47">
            <v>77329.071212178358</v>
          </cell>
          <cell r="H47">
            <v>88224.301695527422</v>
          </cell>
          <cell r="I47">
            <v>106569.22398592878</v>
          </cell>
          <cell r="J47">
            <v>126257.03556353727</v>
          </cell>
          <cell r="K47">
            <v>145320.4008195255</v>
          </cell>
          <cell r="L47">
            <v>20.208477867465579</v>
          </cell>
          <cell r="M47">
            <v>14.385510948348212</v>
          </cell>
          <cell r="N47">
            <v>25.433657175269776</v>
          </cell>
          <cell r="O47">
            <v>6.0134169120550141</v>
          </cell>
          <cell r="P47">
            <v>29.511603692861232</v>
          </cell>
        </row>
        <row r="48">
          <cell r="A48" t="str">
            <v>9.  Ownership of dwellings</v>
          </cell>
          <cell r="B48">
            <v>14232</v>
          </cell>
          <cell r="C48">
            <v>15769</v>
          </cell>
          <cell r="D48">
            <v>17346</v>
          </cell>
          <cell r="E48">
            <v>18387</v>
          </cell>
          <cell r="F48">
            <v>19858</v>
          </cell>
          <cell r="G48">
            <v>22210.021235999997</v>
          </cell>
          <cell r="H48">
            <v>24085.12448887053</v>
          </cell>
          <cell r="I48">
            <v>24910.593960477585</v>
          </cell>
          <cell r="J48">
            <v>26192.692410435444</v>
          </cell>
          <cell r="K48">
            <v>29186.517152948218</v>
          </cell>
          <cell r="L48">
            <v>10.799606520517147</v>
          </cell>
          <cell r="M48">
            <v>10.000634155621778</v>
          </cell>
          <cell r="N48">
            <v>6.0013836042891677</v>
          </cell>
          <cell r="O48">
            <v>8.0002175450046167</v>
          </cell>
          <cell r="P48">
            <v>11.844199999999994</v>
          </cell>
        </row>
        <row r="49">
          <cell r="A49" t="str">
            <v>10. Public admninstration and defence</v>
          </cell>
          <cell r="B49">
            <v>35215</v>
          </cell>
          <cell r="C49">
            <v>40990</v>
          </cell>
          <cell r="D49">
            <v>48040</v>
          </cell>
          <cell r="E49">
            <v>52412</v>
          </cell>
          <cell r="F49">
            <v>58020</v>
          </cell>
          <cell r="G49">
            <v>69409.167542016803</v>
          </cell>
          <cell r="H49">
            <v>81525.319049881873</v>
          </cell>
          <cell r="I49">
            <v>81548.608673174051</v>
          </cell>
          <cell r="J49">
            <v>97485.112636602033</v>
          </cell>
          <cell r="K49">
            <v>120491.59921884011</v>
          </cell>
          <cell r="L49">
            <v>16.399261678262111</v>
          </cell>
          <cell r="M49">
            <v>17.199316906562579</v>
          </cell>
          <cell r="N49">
            <v>9.1007493755203903</v>
          </cell>
          <cell r="O49">
            <v>10.699839731359241</v>
          </cell>
          <cell r="P49">
            <v>19.629726890756306</v>
          </cell>
        </row>
        <row r="50">
          <cell r="A50" t="str">
            <v>11. Services (n.e.s.)</v>
          </cell>
          <cell r="B50">
            <v>27548</v>
          </cell>
          <cell r="C50">
            <v>31928</v>
          </cell>
          <cell r="D50">
            <v>36238</v>
          </cell>
          <cell r="E50">
            <v>41058</v>
          </cell>
          <cell r="F50">
            <v>45041</v>
          </cell>
          <cell r="G50">
            <v>51075.358</v>
          </cell>
          <cell r="H50">
            <v>56486</v>
          </cell>
          <cell r="I50">
            <v>62837.505645792786</v>
          </cell>
          <cell r="J50">
            <v>69095.459988440445</v>
          </cell>
          <cell r="K50">
            <v>76665.848798030725</v>
          </cell>
          <cell r="L50">
            <v>15.899520836358349</v>
          </cell>
          <cell r="M50">
            <v>13.499123026810334</v>
          </cell>
          <cell r="N50">
            <v>13.300954798829956</v>
          </cell>
          <cell r="O50">
            <v>9.7009109065224752</v>
          </cell>
          <cell r="P50">
            <v>13.397477853511241</v>
          </cell>
        </row>
        <row r="51">
          <cell r="A51" t="str">
            <v xml:space="preserve">       11.1  Hotels and restaurants</v>
          </cell>
          <cell r="B51">
            <v>4434.4548950270655</v>
          </cell>
          <cell r="C51">
            <v>5395.3584822617449</v>
          </cell>
          <cell r="D51">
            <v>5986.6665516492139</v>
          </cell>
          <cell r="E51">
            <v>6917.1372652522532</v>
          </cell>
          <cell r="F51">
            <v>7137.80979330432</v>
          </cell>
          <cell r="G51">
            <v>6699.9540858899672</v>
          </cell>
          <cell r="H51">
            <v>7227.9585019119568</v>
          </cell>
          <cell r="I51">
            <v>9336.2518902038173</v>
          </cell>
          <cell r="J51">
            <v>11248.198816066548</v>
          </cell>
          <cell r="K51">
            <v>9565.9182011356352</v>
          </cell>
          <cell r="L51">
            <v>21.669035089572475</v>
          </cell>
          <cell r="M51">
            <v>10.959569625104715</v>
          </cell>
          <cell r="N51">
            <v>15.542384156116263</v>
          </cell>
          <cell r="O51">
            <v>3.1902291307792874</v>
          </cell>
          <cell r="P51">
            <v>-6.134314587999901</v>
          </cell>
        </row>
        <row r="52">
          <cell r="A52" t="str">
            <v xml:space="preserve">       11.2  Other</v>
          </cell>
          <cell r="B52">
            <v>23113.545104972934</v>
          </cell>
          <cell r="C52">
            <v>26532.641517738255</v>
          </cell>
          <cell r="D52">
            <v>30251.333448350786</v>
          </cell>
          <cell r="E52">
            <v>34140.862734747745</v>
          </cell>
          <cell r="F52">
            <v>37903.190206695683</v>
          </cell>
          <cell r="G52">
            <v>44375.403914110037</v>
          </cell>
          <cell r="H52">
            <v>49258.041498088045</v>
          </cell>
          <cell r="I52">
            <v>53501.253755588972</v>
          </cell>
          <cell r="J52">
            <v>57847.261172373896</v>
          </cell>
          <cell r="K52">
            <v>67099.930596895094</v>
          </cell>
          <cell r="L52">
            <v>14.792609256767332</v>
          </cell>
          <cell r="M52">
            <v>14.015536026167696</v>
          </cell>
          <cell r="N52">
            <v>12.857381288787462</v>
          </cell>
          <cell r="O52">
            <v>11.020012883619179</v>
          </cell>
          <cell r="P52">
            <v>17.075643691519726</v>
          </cell>
        </row>
        <row r="53">
          <cell r="A53" t="str">
            <v>12. Gross domestic product</v>
          </cell>
          <cell r="B53">
            <v>695934</v>
          </cell>
          <cell r="C53">
            <v>803698</v>
          </cell>
          <cell r="D53">
            <v>912839</v>
          </cell>
          <cell r="E53">
            <v>994730</v>
          </cell>
          <cell r="F53">
            <v>1125259</v>
          </cell>
          <cell r="G53">
            <v>1245597.9106000648</v>
          </cell>
          <cell r="H53">
            <v>1403286.4740060815</v>
          </cell>
          <cell r="I53">
            <v>1562737.2866477461</v>
          </cell>
          <cell r="J53">
            <v>1797941.1876650429</v>
          </cell>
          <cell r="K53">
            <v>2088145.7535054432</v>
          </cell>
          <cell r="L53">
            <v>15.484801719703301</v>
          </cell>
          <cell r="M53">
            <v>13.579852133512826</v>
          </cell>
          <cell r="N53">
            <v>8.9710233677570805</v>
          </cell>
          <cell r="O53">
            <v>13.122053220471885</v>
          </cell>
          <cell r="P53">
            <v>10.694329980925698</v>
          </cell>
        </row>
        <row r="54">
          <cell r="A54" t="str">
            <v>13. Net factor income from abroad</v>
          </cell>
          <cell r="B54">
            <v>-11258</v>
          </cell>
          <cell r="C54">
            <v>-9409</v>
          </cell>
          <cell r="D54">
            <v>-11556</v>
          </cell>
          <cell r="E54">
            <v>-17831</v>
          </cell>
          <cell r="F54">
            <v>-23082.5</v>
          </cell>
          <cell r="G54">
            <v>-23829.6312</v>
          </cell>
          <cell r="H54">
            <v>-24173.7</v>
          </cell>
          <cell r="I54">
            <v>-16534.900000000001</v>
          </cell>
          <cell r="J54">
            <v>-20687.900000000001</v>
          </cell>
          <cell r="L54">
            <v>16.423876354592291</v>
          </cell>
          <cell r="M54">
            <v>-22.81857795727495</v>
          </cell>
          <cell r="N54">
            <v>-54.300796123226021</v>
          </cell>
          <cell r="O54">
            <v>-29.451517020918626</v>
          </cell>
          <cell r="P54">
            <v>-3.2367863099750886</v>
          </cell>
        </row>
        <row r="55">
          <cell r="A55" t="str">
            <v>14. Gross national product</v>
          </cell>
          <cell r="B55">
            <v>684676</v>
          </cell>
          <cell r="C55">
            <v>794289</v>
          </cell>
          <cell r="D55">
            <v>901283</v>
          </cell>
          <cell r="E55">
            <v>976899</v>
          </cell>
          <cell r="F55">
            <v>1102176.5</v>
          </cell>
          <cell r="G55">
            <v>1221768.2794000648</v>
          </cell>
          <cell r="H55">
            <v>1379112.7740060815</v>
          </cell>
          <cell r="I55">
            <v>1546202.3866477462</v>
          </cell>
          <cell r="J55">
            <v>1777253.287665043</v>
          </cell>
          <cell r="L55">
            <v>16.009470172753247</v>
          </cell>
          <cell r="M55">
            <v>13.470411902972334</v>
          </cell>
          <cell r="N55">
            <v>8.3898176266500091</v>
          </cell>
          <cell r="O55">
            <v>12.82399715835516</v>
          </cell>
          <cell r="P55">
            <v>10.850510730365315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ssumption"/>
      <sheetName val="A_Ex"/>
      <sheetName val="A_Im"/>
      <sheetName val="Ex_V (Rs.)"/>
      <sheetName val="IM_V_(Rs.)"/>
      <sheetName val="Ex_Q"/>
      <sheetName val="IM_Q"/>
      <sheetName val="Ex_P"/>
      <sheetName val="Im_P"/>
      <sheetName val="Trade data"/>
      <sheetName val="IM_V_(US $ mn)"/>
      <sheetName val="Ex_V_(US $ mn)"/>
      <sheetName val="Quartaly"/>
      <sheetName val="Sheet2"/>
      <sheetName val="Sheet1"/>
      <sheetName val="Trade data (Rs. mn)"/>
    </sheetNames>
    <sheetDataSet>
      <sheetData sheetId="0">
        <row r="1">
          <cell r="A1" t="str">
            <v>Exchange rate</v>
          </cell>
        </row>
        <row r="2">
          <cell r="A2" t="str">
            <v>Basic Data</v>
          </cell>
        </row>
        <row r="3">
          <cell r="A3">
            <v>40179</v>
          </cell>
        </row>
        <row r="4">
          <cell r="A4">
            <v>40210</v>
          </cell>
        </row>
        <row r="5">
          <cell r="A5">
            <v>40238</v>
          </cell>
        </row>
        <row r="6">
          <cell r="A6">
            <v>40269</v>
          </cell>
        </row>
        <row r="7">
          <cell r="A7">
            <v>40299</v>
          </cell>
        </row>
        <row r="8">
          <cell r="A8">
            <v>40330</v>
          </cell>
        </row>
        <row r="9">
          <cell r="A9">
            <v>40360</v>
          </cell>
        </row>
        <row r="10">
          <cell r="A10">
            <v>40391</v>
          </cell>
        </row>
        <row r="11">
          <cell r="A11">
            <v>40422</v>
          </cell>
        </row>
        <row r="12">
          <cell r="A12">
            <v>40452</v>
          </cell>
        </row>
        <row r="13">
          <cell r="A13">
            <v>40483</v>
          </cell>
        </row>
        <row r="14">
          <cell r="A14">
            <v>40513</v>
          </cell>
        </row>
        <row r="15">
          <cell r="A15">
            <v>40544</v>
          </cell>
        </row>
        <row r="16">
          <cell r="A16">
            <v>40575</v>
          </cell>
        </row>
        <row r="17">
          <cell r="A17">
            <v>40603</v>
          </cell>
        </row>
        <row r="18">
          <cell r="A18">
            <v>40634</v>
          </cell>
        </row>
        <row r="19">
          <cell r="A19">
            <v>40664</v>
          </cell>
        </row>
        <row r="20">
          <cell r="A20">
            <v>40695</v>
          </cell>
        </row>
        <row r="21">
          <cell r="A21">
            <v>40725</v>
          </cell>
        </row>
        <row r="22">
          <cell r="A22">
            <v>40756</v>
          </cell>
        </row>
        <row r="23">
          <cell r="A23">
            <v>40787</v>
          </cell>
        </row>
        <row r="24">
          <cell r="A24">
            <v>40817</v>
          </cell>
        </row>
        <row r="25">
          <cell r="A25">
            <v>40848</v>
          </cell>
        </row>
        <row r="26">
          <cell r="A26">
            <v>40878</v>
          </cell>
        </row>
        <row r="27">
          <cell r="A27">
            <v>40909</v>
          </cell>
        </row>
        <row r="28">
          <cell r="A28">
            <v>40940</v>
          </cell>
        </row>
        <row r="29">
          <cell r="A29">
            <v>40969</v>
          </cell>
        </row>
        <row r="30">
          <cell r="A30">
            <v>41000</v>
          </cell>
        </row>
        <row r="31">
          <cell r="A31">
            <v>41030</v>
          </cell>
        </row>
        <row r="32">
          <cell r="A32">
            <v>41061</v>
          </cell>
        </row>
        <row r="33">
          <cell r="A33">
            <v>41091</v>
          </cell>
        </row>
        <row r="34">
          <cell r="A34">
            <v>41122</v>
          </cell>
        </row>
        <row r="35">
          <cell r="A35">
            <v>41153</v>
          </cell>
        </row>
        <row r="36">
          <cell r="A36">
            <v>41183</v>
          </cell>
        </row>
        <row r="37">
          <cell r="A37">
            <v>41214</v>
          </cell>
        </row>
        <row r="38">
          <cell r="A38">
            <v>41244</v>
          </cell>
        </row>
        <row r="39">
          <cell r="A39">
            <v>41275</v>
          </cell>
        </row>
        <row r="40">
          <cell r="A40">
            <v>41306</v>
          </cell>
        </row>
        <row r="41">
          <cell r="A41">
            <v>41334</v>
          </cell>
        </row>
        <row r="42">
          <cell r="A42">
            <v>41365</v>
          </cell>
        </row>
        <row r="43">
          <cell r="A43">
            <v>41395</v>
          </cell>
        </row>
        <row r="44">
          <cell r="A44">
            <v>41426</v>
          </cell>
        </row>
        <row r="45">
          <cell r="A45">
            <v>41456</v>
          </cell>
        </row>
        <row r="46">
          <cell r="A46">
            <v>41487</v>
          </cell>
        </row>
        <row r="47">
          <cell r="A47">
            <v>41518</v>
          </cell>
        </row>
        <row r="48">
          <cell r="A48">
            <v>41548</v>
          </cell>
        </row>
        <row r="49">
          <cell r="A49">
            <v>41579</v>
          </cell>
        </row>
        <row r="50">
          <cell r="A50">
            <v>41609</v>
          </cell>
        </row>
        <row r="51">
          <cell r="A51">
            <v>41640</v>
          </cell>
        </row>
        <row r="52">
          <cell r="A52">
            <v>41671</v>
          </cell>
        </row>
        <row r="53">
          <cell r="A53">
            <v>41699</v>
          </cell>
        </row>
        <row r="54">
          <cell r="A54">
            <v>41730</v>
          </cell>
        </row>
        <row r="55">
          <cell r="A55">
            <v>41760</v>
          </cell>
        </row>
        <row r="56">
          <cell r="A56">
            <v>41791</v>
          </cell>
        </row>
        <row r="57">
          <cell r="A57">
            <v>41821</v>
          </cell>
        </row>
        <row r="58">
          <cell r="A58">
            <v>41852</v>
          </cell>
        </row>
        <row r="59">
          <cell r="A59">
            <v>41883</v>
          </cell>
        </row>
        <row r="60">
          <cell r="A60">
            <v>41913</v>
          </cell>
        </row>
        <row r="61">
          <cell r="A61">
            <v>41944</v>
          </cell>
        </row>
        <row r="62">
          <cell r="A62">
            <v>41974</v>
          </cell>
        </row>
        <row r="63">
          <cell r="A63">
            <v>42005</v>
          </cell>
        </row>
        <row r="64">
          <cell r="A64">
            <v>42036</v>
          </cell>
        </row>
        <row r="65">
          <cell r="A65">
            <v>42064</v>
          </cell>
        </row>
        <row r="66">
          <cell r="A66">
            <v>42095</v>
          </cell>
        </row>
        <row r="67">
          <cell r="A67">
            <v>42125</v>
          </cell>
        </row>
        <row r="68">
          <cell r="A68">
            <v>42156</v>
          </cell>
        </row>
        <row r="69">
          <cell r="A69">
            <v>42186</v>
          </cell>
        </row>
        <row r="70">
          <cell r="A70">
            <v>42217</v>
          </cell>
        </row>
        <row r="71">
          <cell r="A71">
            <v>42248</v>
          </cell>
        </row>
        <row r="72">
          <cell r="A72">
            <v>42278</v>
          </cell>
        </row>
        <row r="73">
          <cell r="A73">
            <v>42309</v>
          </cell>
        </row>
        <row r="74">
          <cell r="A74">
            <v>42339</v>
          </cell>
        </row>
        <row r="75">
          <cell r="A75">
            <v>42370</v>
          </cell>
        </row>
        <row r="76">
          <cell r="A76">
            <v>42401</v>
          </cell>
        </row>
        <row r="77">
          <cell r="A77">
            <v>42430</v>
          </cell>
        </row>
        <row r="78">
          <cell r="A78">
            <v>42461</v>
          </cell>
        </row>
        <row r="79">
          <cell r="A79">
            <v>42491</v>
          </cell>
        </row>
        <row r="80">
          <cell r="A80">
            <v>42522</v>
          </cell>
        </row>
        <row r="81">
          <cell r="A81">
            <v>42552</v>
          </cell>
        </row>
        <row r="82">
          <cell r="A82">
            <v>42583</v>
          </cell>
        </row>
        <row r="83">
          <cell r="A83">
            <v>42614</v>
          </cell>
        </row>
        <row r="84">
          <cell r="A84">
            <v>42644</v>
          </cell>
        </row>
        <row r="85">
          <cell r="A85">
            <v>42675</v>
          </cell>
        </row>
        <row r="86">
          <cell r="A86">
            <v>42705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 new (2)"/>
      <sheetName val="22 new"/>
      <sheetName val="22"/>
      <sheetName val="23 new"/>
      <sheetName val="23"/>
      <sheetName val="24"/>
      <sheetName val="25"/>
      <sheetName val="26"/>
      <sheetName val="27"/>
      <sheetName val="28"/>
      <sheetName val="29"/>
      <sheetName val="30"/>
      <sheetName val="31 new"/>
      <sheetName val="31"/>
    </sheetNames>
    <sheetDataSet>
      <sheetData sheetId="0" refreshError="1"/>
      <sheetData sheetId="1" refreshError="1"/>
      <sheetData sheetId="2" refreshError="1"/>
      <sheetData sheetId="3" refreshError="1"/>
      <sheetData sheetId="4" refreshError="1"/>
      <sheetData sheetId="5">
        <row r="1">
          <cell r="B1" t="str">
            <v>NATIONAL OUTPUT AND EXPENDITURE</v>
          </cell>
          <cell r="V1" t="str">
            <v>TABLE 24</v>
          </cell>
        </row>
        <row r="2">
          <cell r="B2" t="str">
            <v xml:space="preserve">Investment Approvals in Industry by the Board of Investment of Sri Lanka  </v>
          </cell>
        </row>
        <row r="4">
          <cell r="B4" t="str">
            <v>Category</v>
          </cell>
          <cell r="G4" t="str">
            <v>Number of Projects</v>
          </cell>
          <cell r="K4" t="str">
            <v>Foreign Investment Potential
(Rs.million)</v>
          </cell>
          <cell r="O4" t="str">
            <v xml:space="preserve">Total Investment Potential
(Rs.million)         </v>
          </cell>
          <cell r="S4" t="str">
            <v>Employment Potential
(No.)</v>
          </cell>
        </row>
        <row r="6">
          <cell r="G6" t="str">
            <v>Approvals</v>
          </cell>
          <cell r="I6" t="str">
            <v>Contracted</v>
          </cell>
          <cell r="K6" t="str">
            <v>Approvals</v>
          </cell>
          <cell r="M6" t="str">
            <v>Contracted</v>
          </cell>
          <cell r="O6" t="str">
            <v>Approvals</v>
          </cell>
          <cell r="Q6" t="str">
            <v>Contracted</v>
          </cell>
          <cell r="S6" t="str">
            <v xml:space="preserve"> Approvals</v>
          </cell>
          <cell r="U6" t="str">
            <v>Contracted</v>
          </cell>
        </row>
        <row r="7">
          <cell r="G7" t="str">
            <v>2009 (a)</v>
          </cell>
          <cell r="H7" t="str">
            <v>2010 (b)</v>
          </cell>
          <cell r="I7" t="str">
            <v>2009 (a)</v>
          </cell>
          <cell r="J7" t="str">
            <v>2010 (b)</v>
          </cell>
          <cell r="K7" t="str">
            <v>2009 (a)</v>
          </cell>
          <cell r="L7" t="str">
            <v>2010 (b)</v>
          </cell>
          <cell r="M7" t="str">
            <v>2009 (a)</v>
          </cell>
          <cell r="N7" t="str">
            <v>2010 (b)</v>
          </cell>
          <cell r="O7" t="str">
            <v>2009 (a)</v>
          </cell>
          <cell r="P7" t="str">
            <v>2010 (b)</v>
          </cell>
          <cell r="Q7" t="str">
            <v>2009 (a)</v>
          </cell>
          <cell r="R7" t="str">
            <v>2010 (b)</v>
          </cell>
          <cell r="S7" t="str">
            <v>2009 (a)</v>
          </cell>
          <cell r="T7" t="str">
            <v>2010 (b)</v>
          </cell>
          <cell r="U7" t="str">
            <v>2009 (a)</v>
          </cell>
          <cell r="V7" t="str">
            <v>2010 (b)</v>
          </cell>
        </row>
        <row r="8">
          <cell r="B8" t="str">
            <v>1 .</v>
          </cell>
          <cell r="C8" t="str">
            <v>Food, beverages and tobacco products</v>
          </cell>
          <cell r="G8">
            <v>35</v>
          </cell>
          <cell r="H8">
            <v>27</v>
          </cell>
          <cell r="I8">
            <v>13</v>
          </cell>
          <cell r="J8">
            <v>16</v>
          </cell>
          <cell r="K8">
            <v>30626</v>
          </cell>
          <cell r="L8">
            <v>4286</v>
          </cell>
          <cell r="M8">
            <v>1383</v>
          </cell>
          <cell r="N8">
            <v>3394</v>
          </cell>
          <cell r="O8">
            <v>42280</v>
          </cell>
          <cell r="P8">
            <v>6828</v>
          </cell>
          <cell r="Q8">
            <v>6944</v>
          </cell>
          <cell r="R8">
            <v>4930</v>
          </cell>
          <cell r="S8">
            <v>4806</v>
          </cell>
          <cell r="T8">
            <v>2155</v>
          </cell>
          <cell r="U8">
            <v>1354</v>
          </cell>
          <cell r="V8">
            <v>1102</v>
          </cell>
        </row>
        <row r="9">
          <cell r="B9" t="str">
            <v>2 .</v>
          </cell>
          <cell r="C9" t="str">
            <v>Textile, wearing apparel and leather products</v>
          </cell>
          <cell r="G9">
            <v>30</v>
          </cell>
          <cell r="H9">
            <v>30</v>
          </cell>
          <cell r="I9">
            <v>16</v>
          </cell>
          <cell r="J9">
            <v>26</v>
          </cell>
          <cell r="K9">
            <v>1537</v>
          </cell>
          <cell r="L9">
            <v>1324</v>
          </cell>
          <cell r="M9">
            <v>827</v>
          </cell>
          <cell r="N9">
            <v>590</v>
          </cell>
          <cell r="O9">
            <v>3592</v>
          </cell>
          <cell r="P9">
            <v>6157</v>
          </cell>
          <cell r="Q9">
            <v>1825</v>
          </cell>
          <cell r="R9">
            <v>5995</v>
          </cell>
          <cell r="S9">
            <v>6199</v>
          </cell>
          <cell r="T9">
            <v>15356</v>
          </cell>
          <cell r="U9">
            <v>3100</v>
          </cell>
          <cell r="V9">
            <v>8911</v>
          </cell>
        </row>
        <row r="10">
          <cell r="B10" t="str">
            <v>3 .</v>
          </cell>
          <cell r="C10" t="str">
            <v>Wood and wood products, excluding furniture (c)</v>
          </cell>
          <cell r="G10">
            <v>4</v>
          </cell>
          <cell r="H10">
            <v>1</v>
          </cell>
          <cell r="I10">
            <v>3</v>
          </cell>
          <cell r="J10">
            <v>3</v>
          </cell>
          <cell r="K10">
            <v>173</v>
          </cell>
          <cell r="L10" t="str">
            <v>-</v>
          </cell>
          <cell r="M10">
            <v>500</v>
          </cell>
          <cell r="N10">
            <v>285</v>
          </cell>
          <cell r="O10">
            <v>426</v>
          </cell>
          <cell r="P10">
            <v>99</v>
          </cell>
          <cell r="Q10">
            <v>638</v>
          </cell>
          <cell r="R10">
            <v>371</v>
          </cell>
          <cell r="S10">
            <v>299</v>
          </cell>
          <cell r="T10">
            <v>42</v>
          </cell>
          <cell r="U10">
            <v>536</v>
          </cell>
          <cell r="V10">
            <v>353</v>
          </cell>
        </row>
        <row r="11">
          <cell r="B11" t="str">
            <v>4 .</v>
          </cell>
          <cell r="C11" t="str">
            <v>Paper products, publishing and printing</v>
          </cell>
          <cell r="G11">
            <v>3</v>
          </cell>
          <cell r="H11">
            <v>3</v>
          </cell>
          <cell r="I11">
            <v>3</v>
          </cell>
          <cell r="J11">
            <v>2</v>
          </cell>
          <cell r="K11">
            <v>65</v>
          </cell>
          <cell r="L11">
            <v>802</v>
          </cell>
          <cell r="M11">
            <v>92</v>
          </cell>
          <cell r="N11">
            <v>802</v>
          </cell>
          <cell r="O11">
            <v>207</v>
          </cell>
          <cell r="P11">
            <v>1032</v>
          </cell>
          <cell r="Q11">
            <v>136</v>
          </cell>
          <cell r="R11">
            <v>917</v>
          </cell>
          <cell r="S11">
            <v>250</v>
          </cell>
          <cell r="T11">
            <v>535</v>
          </cell>
          <cell r="U11">
            <v>100</v>
          </cell>
          <cell r="V11">
            <v>500</v>
          </cell>
        </row>
        <row r="12">
          <cell r="B12" t="str">
            <v>5 .</v>
          </cell>
          <cell r="C12" t="str">
            <v>Chemical, petroleum, coal, rubber and</v>
          </cell>
        </row>
        <row r="13">
          <cell r="C13" t="str">
            <v xml:space="preserve">   plastic products</v>
          </cell>
          <cell r="G13">
            <v>20</v>
          </cell>
          <cell r="H13">
            <v>10</v>
          </cell>
          <cell r="I13">
            <v>11</v>
          </cell>
          <cell r="J13">
            <v>10</v>
          </cell>
          <cell r="K13">
            <v>3509</v>
          </cell>
          <cell r="L13">
            <v>348</v>
          </cell>
          <cell r="M13">
            <v>3932</v>
          </cell>
          <cell r="N13">
            <v>170</v>
          </cell>
          <cell r="O13">
            <v>5318</v>
          </cell>
          <cell r="P13">
            <v>983</v>
          </cell>
          <cell r="Q13">
            <v>8464</v>
          </cell>
          <cell r="R13">
            <v>863</v>
          </cell>
          <cell r="S13">
            <v>2199</v>
          </cell>
          <cell r="T13">
            <v>948</v>
          </cell>
          <cell r="U13">
            <v>1868</v>
          </cell>
          <cell r="V13">
            <v>921</v>
          </cell>
        </row>
        <row r="14">
          <cell r="B14" t="str">
            <v>6 .</v>
          </cell>
          <cell r="C14" t="str">
            <v>Non-metallic mineral products</v>
          </cell>
          <cell r="G14">
            <v>15</v>
          </cell>
          <cell r="H14">
            <v>8</v>
          </cell>
          <cell r="I14">
            <v>14</v>
          </cell>
          <cell r="J14">
            <v>5</v>
          </cell>
          <cell r="K14">
            <v>3023</v>
          </cell>
          <cell r="L14">
            <v>2886</v>
          </cell>
          <cell r="M14">
            <v>6156</v>
          </cell>
          <cell r="N14">
            <v>128</v>
          </cell>
          <cell r="O14">
            <v>3472</v>
          </cell>
          <cell r="P14">
            <v>6573</v>
          </cell>
          <cell r="Q14">
            <v>6592</v>
          </cell>
          <cell r="R14">
            <v>506</v>
          </cell>
          <cell r="S14">
            <v>1398</v>
          </cell>
          <cell r="T14">
            <v>490</v>
          </cell>
          <cell r="U14">
            <v>1135</v>
          </cell>
          <cell r="V14">
            <v>251</v>
          </cell>
        </row>
        <row r="15">
          <cell r="B15" t="str">
            <v>7 .</v>
          </cell>
          <cell r="C15" t="str">
            <v>Basic metal products</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row>
        <row r="16">
          <cell r="B16" t="str">
            <v>8 .</v>
          </cell>
          <cell r="C16" t="str">
            <v>Fabricated metal products, machinery and</v>
          </cell>
        </row>
        <row r="17">
          <cell r="C17" t="str">
            <v xml:space="preserve">   transport equipment</v>
          </cell>
          <cell r="G17">
            <v>17</v>
          </cell>
          <cell r="H17">
            <v>18</v>
          </cell>
          <cell r="I17">
            <v>8</v>
          </cell>
          <cell r="J17">
            <v>14</v>
          </cell>
          <cell r="K17">
            <v>233292</v>
          </cell>
          <cell r="L17">
            <v>1592</v>
          </cell>
          <cell r="M17">
            <v>231257</v>
          </cell>
          <cell r="N17">
            <v>2930</v>
          </cell>
          <cell r="O17">
            <v>236865</v>
          </cell>
          <cell r="P17">
            <v>4007</v>
          </cell>
          <cell r="Q17">
            <v>233118</v>
          </cell>
          <cell r="R17">
            <v>5151</v>
          </cell>
          <cell r="S17">
            <v>91991</v>
          </cell>
          <cell r="T17">
            <v>1774</v>
          </cell>
          <cell r="U17">
            <v>91070</v>
          </cell>
          <cell r="V17">
            <v>1296</v>
          </cell>
        </row>
        <row r="18">
          <cell r="B18" t="str">
            <v>9 .</v>
          </cell>
          <cell r="C18" t="str">
            <v>Manufactured products (n.e.s)</v>
          </cell>
          <cell r="G18">
            <v>16</v>
          </cell>
          <cell r="H18">
            <v>17</v>
          </cell>
          <cell r="I18">
            <v>12</v>
          </cell>
          <cell r="J18">
            <v>18</v>
          </cell>
          <cell r="K18">
            <v>366</v>
          </cell>
          <cell r="L18">
            <v>724</v>
          </cell>
          <cell r="M18">
            <v>969</v>
          </cell>
          <cell r="N18">
            <v>980</v>
          </cell>
          <cell r="O18">
            <v>1067</v>
          </cell>
          <cell r="P18">
            <v>1434</v>
          </cell>
          <cell r="Q18">
            <v>1564</v>
          </cell>
          <cell r="R18">
            <v>2079</v>
          </cell>
          <cell r="S18">
            <v>1293</v>
          </cell>
          <cell r="T18">
            <v>1165</v>
          </cell>
          <cell r="U18">
            <v>1842</v>
          </cell>
          <cell r="V18">
            <v>1202</v>
          </cell>
        </row>
        <row r="19">
          <cell r="B19" t="str">
            <v>10 .</v>
          </cell>
          <cell r="C19" t="str">
            <v>Services</v>
          </cell>
          <cell r="G19">
            <v>221</v>
          </cell>
          <cell r="H19">
            <v>209</v>
          </cell>
          <cell r="I19">
            <v>86</v>
          </cell>
          <cell r="J19">
            <v>141</v>
          </cell>
          <cell r="K19">
            <v>165441</v>
          </cell>
          <cell r="L19">
            <v>70642</v>
          </cell>
          <cell r="M19">
            <v>124968</v>
          </cell>
          <cell r="N19">
            <v>46038</v>
          </cell>
          <cell r="O19">
            <v>239743</v>
          </cell>
          <cell r="P19">
            <v>146014</v>
          </cell>
          <cell r="Q19">
            <v>147654</v>
          </cell>
          <cell r="R19">
            <v>91200</v>
          </cell>
          <cell r="S19">
            <v>16646</v>
          </cell>
          <cell r="T19">
            <v>25617</v>
          </cell>
          <cell r="U19">
            <v>5691</v>
          </cell>
          <cell r="V19">
            <v>12407</v>
          </cell>
        </row>
        <row r="20">
          <cell r="B20" t="str">
            <v>11 .</v>
          </cell>
          <cell r="C20" t="str">
            <v xml:space="preserve">Expanded Projects </v>
          </cell>
          <cell r="G20">
            <v>23</v>
          </cell>
          <cell r="H20">
            <v>30</v>
          </cell>
          <cell r="I20">
            <v>16</v>
          </cell>
          <cell r="J20">
            <v>27</v>
          </cell>
          <cell r="K20">
            <v>2973</v>
          </cell>
          <cell r="L20" t="str">
            <v>-</v>
          </cell>
          <cell r="M20">
            <v>3945</v>
          </cell>
          <cell r="N20" t="str">
            <v>-</v>
          </cell>
          <cell r="O20">
            <v>17617</v>
          </cell>
          <cell r="P20">
            <v>120765</v>
          </cell>
          <cell r="Q20">
            <v>15517</v>
          </cell>
          <cell r="R20">
            <v>109641</v>
          </cell>
          <cell r="S20">
            <v>3384</v>
          </cell>
          <cell r="T20">
            <v>5990</v>
          </cell>
          <cell r="U20">
            <v>1499</v>
          </cell>
          <cell r="V20">
            <v>6156</v>
          </cell>
        </row>
        <row r="21">
          <cell r="B21" t="str">
            <v xml:space="preserve"> Total</v>
          </cell>
          <cell r="G21">
            <v>384</v>
          </cell>
          <cell r="H21">
            <v>353</v>
          </cell>
          <cell r="I21">
            <v>182</v>
          </cell>
          <cell r="J21">
            <v>262</v>
          </cell>
          <cell r="K21">
            <v>441005</v>
          </cell>
          <cell r="L21">
            <v>82604</v>
          </cell>
          <cell r="M21">
            <v>374029</v>
          </cell>
          <cell r="N21">
            <v>55317</v>
          </cell>
          <cell r="O21">
            <v>550587</v>
          </cell>
          <cell r="P21">
            <v>293892</v>
          </cell>
          <cell r="Q21">
            <v>422452</v>
          </cell>
          <cell r="R21">
            <v>221653</v>
          </cell>
          <cell r="S21">
            <v>128465</v>
          </cell>
          <cell r="T21">
            <v>54072</v>
          </cell>
          <cell r="U21">
            <v>108195</v>
          </cell>
          <cell r="V21">
            <v>33099</v>
          </cell>
        </row>
        <row r="22">
          <cell r="B22" t="str">
            <v>(a) Revised</v>
          </cell>
          <cell r="V22" t="str">
            <v xml:space="preserve">Source: Board of Investment of Sri Lanka </v>
          </cell>
        </row>
        <row r="23">
          <cell r="B23" t="str">
            <v>(b) Provisional</v>
          </cell>
        </row>
        <row r="24">
          <cell r="B24" t="str">
            <v>(c) This figure is excluding furniture. However, past data remains unchanged</v>
          </cell>
        </row>
      </sheetData>
      <sheetData sheetId="6">
        <row r="2">
          <cell r="B2" t="str">
            <v>NATIONAL OUTPUT AND EXPENDITURE</v>
          </cell>
          <cell r="U2" t="str">
            <v>TABLE 25</v>
          </cell>
        </row>
        <row r="3">
          <cell r="B3" t="str">
            <v>Realised Investments in the Board of Investment (BOI) Enterprises (a)</v>
          </cell>
        </row>
        <row r="5">
          <cell r="B5" t="str">
            <v>Category</v>
          </cell>
          <cell r="D5" t="str">
            <v>Number of Projects</v>
          </cell>
          <cell r="J5" t="str">
            <v>Foreign investment
(Rs. million)</v>
          </cell>
          <cell r="P5" t="str">
            <v>Total Investment Potential
(Rs. million)</v>
          </cell>
        </row>
        <row r="7">
          <cell r="D7">
            <v>2005</v>
          </cell>
          <cell r="E7">
            <v>2006</v>
          </cell>
          <cell r="F7">
            <v>2007</v>
          </cell>
          <cell r="G7">
            <v>2008</v>
          </cell>
          <cell r="H7" t="str">
            <v>2009 (b)</v>
          </cell>
          <cell r="I7" t="str">
            <v>2010 (c)</v>
          </cell>
          <cell r="J7">
            <v>2005</v>
          </cell>
          <cell r="K7">
            <v>2006</v>
          </cell>
          <cell r="L7">
            <v>2007</v>
          </cell>
          <cell r="M7">
            <v>2008</v>
          </cell>
          <cell r="N7" t="str">
            <v>2009 (b)</v>
          </cell>
          <cell r="O7" t="str">
            <v>2010 (c)</v>
          </cell>
          <cell r="P7">
            <v>2005</v>
          </cell>
          <cell r="Q7">
            <v>2006</v>
          </cell>
          <cell r="R7">
            <v>2007</v>
          </cell>
          <cell r="S7">
            <v>2008</v>
          </cell>
          <cell r="T7" t="str">
            <v>2009 (b)</v>
          </cell>
          <cell r="U7" t="str">
            <v>2010 (c)</v>
          </cell>
        </row>
        <row r="9">
          <cell r="B9" t="str">
            <v>1 .</v>
          </cell>
          <cell r="C9" t="str">
            <v>Food, beverages and tobacco products</v>
          </cell>
          <cell r="D9">
            <v>147</v>
          </cell>
          <cell r="E9">
            <v>142</v>
          </cell>
          <cell r="F9">
            <v>145</v>
          </cell>
          <cell r="G9">
            <v>146</v>
          </cell>
          <cell r="H9">
            <v>136</v>
          </cell>
          <cell r="J9">
            <v>16765</v>
          </cell>
          <cell r="K9">
            <v>20375</v>
          </cell>
          <cell r="L9">
            <v>22766</v>
          </cell>
          <cell r="M9">
            <v>28970</v>
          </cell>
          <cell r="N9">
            <v>29405</v>
          </cell>
          <cell r="P9">
            <v>27105</v>
          </cell>
          <cell r="Q9">
            <v>32174</v>
          </cell>
          <cell r="R9">
            <v>36604</v>
          </cell>
          <cell r="S9">
            <v>45556</v>
          </cell>
          <cell r="T9">
            <v>45831</v>
          </cell>
        </row>
        <row r="10">
          <cell r="B10" t="str">
            <v>2 .</v>
          </cell>
          <cell r="C10" t="str">
            <v>Textile, wearing apparel and leather products</v>
          </cell>
          <cell r="D10">
            <v>483</v>
          </cell>
          <cell r="E10">
            <v>492</v>
          </cell>
          <cell r="F10">
            <v>467</v>
          </cell>
          <cell r="G10">
            <v>419</v>
          </cell>
          <cell r="H10">
            <v>382</v>
          </cell>
          <cell r="J10">
            <v>30278</v>
          </cell>
          <cell r="K10">
            <v>36970</v>
          </cell>
          <cell r="L10">
            <v>44906</v>
          </cell>
          <cell r="M10">
            <v>47629</v>
          </cell>
          <cell r="N10">
            <v>48634</v>
          </cell>
          <cell r="P10">
            <v>45879</v>
          </cell>
          <cell r="Q10">
            <v>55767</v>
          </cell>
          <cell r="R10">
            <v>65107</v>
          </cell>
          <cell r="S10">
            <v>70721</v>
          </cell>
          <cell r="T10">
            <v>74304</v>
          </cell>
        </row>
        <row r="11">
          <cell r="B11" t="str">
            <v>3 .</v>
          </cell>
          <cell r="C11" t="str">
            <v>Wood and wood products, excluding furniture (c)</v>
          </cell>
          <cell r="D11">
            <v>28</v>
          </cell>
          <cell r="E11">
            <v>25</v>
          </cell>
          <cell r="F11">
            <v>26</v>
          </cell>
          <cell r="G11">
            <v>30</v>
          </cell>
          <cell r="H11">
            <v>29</v>
          </cell>
          <cell r="J11">
            <v>5619</v>
          </cell>
          <cell r="K11">
            <v>5715</v>
          </cell>
          <cell r="L11">
            <v>5581</v>
          </cell>
          <cell r="M11">
            <v>5929</v>
          </cell>
          <cell r="N11">
            <v>6056</v>
          </cell>
          <cell r="P11">
            <v>5877</v>
          </cell>
          <cell r="Q11">
            <v>6111</v>
          </cell>
          <cell r="R11">
            <v>6160</v>
          </cell>
          <cell r="S11">
            <v>6591</v>
          </cell>
          <cell r="T11">
            <v>6737</v>
          </cell>
        </row>
        <row r="12">
          <cell r="B12" t="str">
            <v>4 .</v>
          </cell>
          <cell r="C12" t="str">
            <v>Paper products, publishing and printing</v>
          </cell>
          <cell r="D12">
            <v>28</v>
          </cell>
          <cell r="E12">
            <v>30</v>
          </cell>
          <cell r="F12">
            <v>28</v>
          </cell>
          <cell r="G12">
            <v>28</v>
          </cell>
          <cell r="H12">
            <v>27</v>
          </cell>
          <cell r="J12">
            <v>788</v>
          </cell>
          <cell r="K12">
            <v>747</v>
          </cell>
          <cell r="L12">
            <v>1004</v>
          </cell>
          <cell r="M12">
            <v>1579</v>
          </cell>
          <cell r="N12">
            <v>3782</v>
          </cell>
          <cell r="P12">
            <v>1771</v>
          </cell>
          <cell r="Q12">
            <v>1769</v>
          </cell>
          <cell r="R12">
            <v>2085</v>
          </cell>
          <cell r="S12">
            <v>2962</v>
          </cell>
          <cell r="T12">
            <v>4929</v>
          </cell>
        </row>
        <row r="13">
          <cell r="B13" t="str">
            <v>5 .</v>
          </cell>
          <cell r="C13" t="str">
            <v>Chemical, petroleum, coal, rubber and</v>
          </cell>
        </row>
        <row r="14">
          <cell r="C14" t="str">
            <v xml:space="preserve">   plastic products</v>
          </cell>
          <cell r="D14">
            <v>143</v>
          </cell>
          <cell r="E14">
            <v>144</v>
          </cell>
          <cell r="F14">
            <v>138</v>
          </cell>
          <cell r="G14">
            <v>130</v>
          </cell>
          <cell r="H14">
            <v>122</v>
          </cell>
          <cell r="J14">
            <v>19042</v>
          </cell>
          <cell r="K14">
            <v>21931</v>
          </cell>
          <cell r="L14">
            <v>29415</v>
          </cell>
          <cell r="M14">
            <v>35617</v>
          </cell>
          <cell r="N14">
            <v>35772</v>
          </cell>
          <cell r="P14">
            <v>28516</v>
          </cell>
          <cell r="Q14">
            <v>33447</v>
          </cell>
          <cell r="R14">
            <v>39804</v>
          </cell>
          <cell r="S14">
            <v>48707</v>
          </cell>
          <cell r="T14">
            <v>46385</v>
          </cell>
        </row>
        <row r="15">
          <cell r="B15" t="str">
            <v>6 .</v>
          </cell>
          <cell r="C15" t="str">
            <v>Non-metallic mineral products</v>
          </cell>
          <cell r="D15">
            <v>62</v>
          </cell>
          <cell r="E15">
            <v>64</v>
          </cell>
          <cell r="F15">
            <v>64</v>
          </cell>
          <cell r="G15">
            <v>67</v>
          </cell>
          <cell r="H15">
            <v>68</v>
          </cell>
          <cell r="J15">
            <v>9621</v>
          </cell>
          <cell r="K15">
            <v>11400</v>
          </cell>
          <cell r="L15">
            <v>11371</v>
          </cell>
          <cell r="M15">
            <v>7395</v>
          </cell>
          <cell r="N15">
            <v>7783</v>
          </cell>
          <cell r="P15">
            <v>17942</v>
          </cell>
          <cell r="Q15">
            <v>19792</v>
          </cell>
          <cell r="R15">
            <v>25478</v>
          </cell>
          <cell r="S15">
            <v>27014</v>
          </cell>
          <cell r="T15">
            <v>31605</v>
          </cell>
        </row>
        <row r="16">
          <cell r="B16" t="str">
            <v>7 .</v>
          </cell>
          <cell r="C16" t="str">
            <v>Basic Metal Products</v>
          </cell>
          <cell r="D16" t="str">
            <v>-</v>
          </cell>
          <cell r="E16" t="str">
            <v>-</v>
          </cell>
          <cell r="F16" t="str">
            <v>-</v>
          </cell>
          <cell r="G16" t="str">
            <v>-</v>
          </cell>
          <cell r="H16" t="str">
            <v>-</v>
          </cell>
          <cell r="J16" t="str">
            <v>-</v>
          </cell>
          <cell r="K16" t="str">
            <v>-</v>
          </cell>
          <cell r="L16" t="str">
            <v>-</v>
          </cell>
          <cell r="M16" t="str">
            <v>-</v>
          </cell>
          <cell r="N16" t="str">
            <v>-</v>
          </cell>
          <cell r="P16" t="str">
            <v>-</v>
          </cell>
          <cell r="Q16" t="str">
            <v>-</v>
          </cell>
          <cell r="R16" t="str">
            <v>-</v>
          </cell>
          <cell r="S16" t="str">
            <v>-</v>
          </cell>
          <cell r="T16" t="str">
            <v>-</v>
          </cell>
        </row>
        <row r="17">
          <cell r="B17" t="str">
            <v>8 .</v>
          </cell>
          <cell r="C17" t="str">
            <v>Fabricated metal products, machinery and</v>
          </cell>
        </row>
        <row r="18">
          <cell r="C18" t="str">
            <v xml:space="preserve">    transport equipment</v>
          </cell>
          <cell r="D18">
            <v>92</v>
          </cell>
          <cell r="E18">
            <v>83</v>
          </cell>
          <cell r="F18">
            <v>84</v>
          </cell>
          <cell r="G18">
            <v>89</v>
          </cell>
          <cell r="H18">
            <v>89</v>
          </cell>
          <cell r="J18">
            <v>9827</v>
          </cell>
          <cell r="K18">
            <v>13153</v>
          </cell>
          <cell r="L18">
            <v>14440</v>
          </cell>
          <cell r="M18">
            <v>12303</v>
          </cell>
          <cell r="N18">
            <v>13197</v>
          </cell>
          <cell r="P18">
            <v>12383</v>
          </cell>
          <cell r="Q18">
            <v>16424</v>
          </cell>
          <cell r="R18">
            <v>17362</v>
          </cell>
          <cell r="S18">
            <v>15135</v>
          </cell>
          <cell r="T18">
            <v>16816</v>
          </cell>
        </row>
        <row r="19">
          <cell r="B19" t="str">
            <v>9 .</v>
          </cell>
          <cell r="C19" t="str">
            <v>Manufactured products (n.e.s.)</v>
          </cell>
          <cell r="D19">
            <v>167</v>
          </cell>
          <cell r="E19">
            <v>156</v>
          </cell>
          <cell r="F19">
            <v>153</v>
          </cell>
          <cell r="G19">
            <v>155</v>
          </cell>
          <cell r="H19">
            <v>156</v>
          </cell>
          <cell r="J19">
            <v>8403</v>
          </cell>
          <cell r="K19">
            <v>10750</v>
          </cell>
          <cell r="L19">
            <v>11890</v>
          </cell>
          <cell r="M19">
            <v>14317</v>
          </cell>
          <cell r="N19">
            <v>17938</v>
          </cell>
          <cell r="P19">
            <v>11534</v>
          </cell>
          <cell r="Q19">
            <v>14487</v>
          </cell>
          <cell r="R19">
            <v>16387</v>
          </cell>
          <cell r="S19">
            <v>18534</v>
          </cell>
          <cell r="T19">
            <v>22290</v>
          </cell>
        </row>
        <row r="20">
          <cell r="B20" t="str">
            <v>10 .</v>
          </cell>
          <cell r="C20" t="str">
            <v>Services</v>
          </cell>
          <cell r="D20">
            <v>721</v>
          </cell>
          <cell r="E20">
            <v>793</v>
          </cell>
          <cell r="F20">
            <v>872</v>
          </cell>
          <cell r="G20">
            <v>925</v>
          </cell>
          <cell r="H20">
            <v>913</v>
          </cell>
          <cell r="J20">
            <v>133180</v>
          </cell>
          <cell r="K20">
            <v>164325</v>
          </cell>
          <cell r="L20">
            <v>222871</v>
          </cell>
          <cell r="M20">
            <v>286669</v>
          </cell>
          <cell r="N20">
            <v>331894</v>
          </cell>
          <cell r="P20">
            <v>229122</v>
          </cell>
          <cell r="Q20">
            <v>288046</v>
          </cell>
          <cell r="R20">
            <v>392107</v>
          </cell>
          <cell r="S20">
            <v>466604</v>
          </cell>
          <cell r="T20">
            <v>522296</v>
          </cell>
        </row>
        <row r="22">
          <cell r="B22" t="str">
            <v>Total</v>
          </cell>
          <cell r="D22">
            <v>1871</v>
          </cell>
          <cell r="E22">
            <v>1929</v>
          </cell>
          <cell r="F22">
            <v>1977</v>
          </cell>
          <cell r="G22">
            <v>1989</v>
          </cell>
          <cell r="H22">
            <v>1922</v>
          </cell>
          <cell r="J22">
            <v>233523</v>
          </cell>
          <cell r="K22">
            <v>285366</v>
          </cell>
          <cell r="L22">
            <v>364244</v>
          </cell>
          <cell r="M22">
            <v>440408</v>
          </cell>
          <cell r="N22">
            <v>494461</v>
          </cell>
          <cell r="P22">
            <v>380129</v>
          </cell>
          <cell r="Q22">
            <v>468017</v>
          </cell>
          <cell r="R22">
            <v>601093</v>
          </cell>
          <cell r="S22">
            <v>701824</v>
          </cell>
          <cell r="T22">
            <v>771193</v>
          </cell>
        </row>
        <row r="23">
          <cell r="B23" t="str">
            <v>(a)  Cumulative figures as at end of the year</v>
          </cell>
          <cell r="Q23" t="str">
            <v xml:space="preserve">         Source: Board of Investment of Sri Lanka</v>
          </cell>
        </row>
        <row r="24">
          <cell r="B24" t="str">
            <v>(b)  Revised</v>
          </cell>
        </row>
      </sheetData>
      <sheetData sheetId="7" refreshError="1"/>
      <sheetData sheetId="8" refreshError="1"/>
      <sheetData sheetId="9" refreshError="1"/>
      <sheetData sheetId="10" refreshError="1"/>
      <sheetData sheetId="11" refreshError="1"/>
      <sheetData sheetId="12" refreshError="1"/>
      <sheetData sheetId="13">
        <row r="2">
          <cell r="B2" t="str">
            <v>NATIONAL OUTPUT AND EXPENDITURE</v>
          </cell>
          <cell r="N2" t="str">
            <v>TABLE 31</v>
          </cell>
        </row>
        <row r="3">
          <cell r="B3" t="str">
            <v xml:space="preserve">Private Sector Industrial Production Volume Index (a)(b)   </v>
          </cell>
        </row>
        <row r="4">
          <cell r="N4" t="str">
            <v>1997=100</v>
          </cell>
        </row>
        <row r="5">
          <cell r="B5" t="str">
            <v>Period</v>
          </cell>
          <cell r="E5" t="str">
            <v>Overall Index</v>
          </cell>
          <cell r="F5" t="str">
            <v>Food, beverages and tobacco products</v>
          </cell>
          <cell r="G5" t="str">
            <v>Textile, wearing apparel and leather products</v>
          </cell>
          <cell r="H5" t="str">
            <v>Wood and wood products</v>
          </cell>
          <cell r="I5" t="str">
            <v>Paper products, publishing and printing</v>
          </cell>
          <cell r="J5" t="str">
            <v>Chemical, petroleum, coal, rubber and plastic products</v>
          </cell>
          <cell r="K5" t="str">
            <v>Non-metallic mineral products</v>
          </cell>
          <cell r="L5" t="str">
            <v>Basic metal  products</v>
          </cell>
          <cell r="M5" t="str">
            <v>Fabricated metal products, Machinery and transport equipment</v>
          </cell>
          <cell r="N5" t="str">
            <v>Manufactured products not elsewhere specified</v>
          </cell>
        </row>
        <row r="8">
          <cell r="B8">
            <v>2005</v>
          </cell>
          <cell r="E8">
            <v>145.57942133666668</v>
          </cell>
          <cell r="F8">
            <v>145.61139166666666</v>
          </cell>
          <cell r="G8">
            <v>134.00324999999998</v>
          </cell>
          <cell r="H8">
            <v>121.04166666666664</v>
          </cell>
          <cell r="I8">
            <v>121.29166666666664</v>
          </cell>
          <cell r="J8">
            <v>173.94724749999997</v>
          </cell>
          <cell r="K8">
            <v>142.28591666666665</v>
          </cell>
          <cell r="L8">
            <v>149.35833333333332</v>
          </cell>
          <cell r="M8">
            <v>139.32499999999999</v>
          </cell>
          <cell r="N8">
            <v>128.94166666666666</v>
          </cell>
        </row>
        <row r="9">
          <cell r="B9">
            <v>2006</v>
          </cell>
          <cell r="E9">
            <v>153.9906491466667</v>
          </cell>
          <cell r="F9">
            <v>153.43562499999999</v>
          </cell>
          <cell r="G9">
            <v>139.88683333333333</v>
          </cell>
          <cell r="H9">
            <v>126.89166666666669</v>
          </cell>
          <cell r="I9">
            <v>127.74166666666667</v>
          </cell>
          <cell r="J9">
            <v>188.18512750000002</v>
          </cell>
          <cell r="K9">
            <v>157.93758333333335</v>
          </cell>
          <cell r="L9">
            <v>158.46666666666664</v>
          </cell>
          <cell r="M9">
            <v>144.57499999999999</v>
          </cell>
          <cell r="N9">
            <v>133.69999999999999</v>
          </cell>
        </row>
        <row r="10">
          <cell r="B10">
            <v>2007</v>
          </cell>
          <cell r="E10">
            <v>163.85337343333336</v>
          </cell>
          <cell r="F10">
            <v>162.67837499999999</v>
          </cell>
          <cell r="G10">
            <v>148.53558333333334</v>
          </cell>
          <cell r="H10">
            <v>133.33333333333334</v>
          </cell>
          <cell r="I10">
            <v>134.5</v>
          </cell>
          <cell r="J10">
            <v>203.02869583333333</v>
          </cell>
          <cell r="K10">
            <v>171.46333333333337</v>
          </cell>
          <cell r="L10">
            <v>169.02500000000001</v>
          </cell>
          <cell r="M10">
            <v>151.49166666666667</v>
          </cell>
          <cell r="N10">
            <v>140.81666666666669</v>
          </cell>
        </row>
        <row r="11">
          <cell r="B11">
            <v>2008</v>
          </cell>
          <cell r="E11">
            <v>172.09395022166666</v>
          </cell>
          <cell r="F11">
            <v>171.52240000000003</v>
          </cell>
          <cell r="G11">
            <v>153.33849999999998</v>
          </cell>
          <cell r="H11">
            <v>140.16666666666666</v>
          </cell>
          <cell r="I11">
            <v>142</v>
          </cell>
          <cell r="J11">
            <v>216.03684416666667</v>
          </cell>
          <cell r="K11">
            <v>178.30241666666666</v>
          </cell>
          <cell r="L11">
            <v>175.35</v>
          </cell>
          <cell r="M11">
            <v>159.05000000000001</v>
          </cell>
          <cell r="N11">
            <v>147.55000000000001</v>
          </cell>
        </row>
        <row r="12">
          <cell r="B12">
            <v>2009</v>
          </cell>
          <cell r="C12" t="str">
            <v>(c)</v>
          </cell>
          <cell r="E12">
            <v>177.33932199833336</v>
          </cell>
          <cell r="F12">
            <v>181.29594166666672</v>
          </cell>
          <cell r="G12">
            <v>152.89291666666668</v>
          </cell>
          <cell r="H12">
            <v>144.7416666666667</v>
          </cell>
          <cell r="I12">
            <v>147.83333333333334</v>
          </cell>
          <cell r="J12">
            <v>220.09681999999998</v>
          </cell>
          <cell r="K12">
            <v>171.19316666666666</v>
          </cell>
          <cell r="L12">
            <v>176.42500000000001</v>
          </cell>
          <cell r="M12">
            <v>164.29166666666666</v>
          </cell>
          <cell r="N12">
            <v>151.95833333333331</v>
          </cell>
        </row>
        <row r="13">
          <cell r="B13">
            <v>2010</v>
          </cell>
          <cell r="C13" t="str">
            <v>(d)</v>
          </cell>
          <cell r="E13">
            <v>192.69798106666664</v>
          </cell>
          <cell r="F13">
            <v>193.63499999999999</v>
          </cell>
          <cell r="G13">
            <v>166.04225</v>
          </cell>
          <cell r="H13">
            <v>153.26666666666668</v>
          </cell>
          <cell r="I13">
            <v>157.10833333333335</v>
          </cell>
          <cell r="J13">
            <v>248.31296666666671</v>
          </cell>
          <cell r="K13">
            <v>192.46016666666671</v>
          </cell>
          <cell r="L13">
            <v>185.77500000000001</v>
          </cell>
          <cell r="M13">
            <v>179.36666666666667</v>
          </cell>
          <cell r="N13">
            <v>163.27500000000001</v>
          </cell>
        </row>
        <row r="15">
          <cell r="B15">
            <v>2007</v>
          </cell>
          <cell r="D15" t="str">
            <v xml:space="preserve"> 1st Quarter</v>
          </cell>
          <cell r="E15">
            <v>162.96985333333333</v>
          </cell>
          <cell r="F15">
            <v>158.12983333333332</v>
          </cell>
          <cell r="G15">
            <v>158.37166666666667</v>
          </cell>
          <cell r="H15">
            <v>139.33333333333334</v>
          </cell>
          <cell r="I15">
            <v>129.56666666666666</v>
          </cell>
          <cell r="J15">
            <v>206.23058333333333</v>
          </cell>
          <cell r="K15">
            <v>165.56700000000001</v>
          </cell>
          <cell r="L15">
            <v>170.96666666666667</v>
          </cell>
          <cell r="M15">
            <v>136.36666666666667</v>
          </cell>
          <cell r="N15">
            <v>139.46666666666667</v>
          </cell>
        </row>
        <row r="16">
          <cell r="D16" t="str">
            <v xml:space="preserve"> 2nd Quarter</v>
          </cell>
          <cell r="E16">
            <v>157.92705498666672</v>
          </cell>
          <cell r="F16">
            <v>157.61763333333337</v>
          </cell>
          <cell r="G16">
            <v>148.875</v>
          </cell>
          <cell r="H16">
            <v>124.13333333333333</v>
          </cell>
          <cell r="I16">
            <v>129.56666666666666</v>
          </cell>
          <cell r="J16">
            <v>181.39011000000002</v>
          </cell>
          <cell r="K16">
            <v>168.21433333333331</v>
          </cell>
          <cell r="L16">
            <v>155.16666666666669</v>
          </cell>
          <cell r="M16">
            <v>147.9</v>
          </cell>
          <cell r="N16">
            <v>141.43333333333334</v>
          </cell>
        </row>
        <row r="17">
          <cell r="D17" t="str">
            <v xml:space="preserve"> 3rd Quarter</v>
          </cell>
          <cell r="E17">
            <v>158.95082435333339</v>
          </cell>
          <cell r="F17">
            <v>161.19596666666669</v>
          </cell>
          <cell r="G17">
            <v>129.87933333333334</v>
          </cell>
          <cell r="H17">
            <v>139.19999999999999</v>
          </cell>
          <cell r="I17">
            <v>137.69999999999999</v>
          </cell>
          <cell r="J17">
            <v>200.27545999999998</v>
          </cell>
          <cell r="K17">
            <v>166.85866666666666</v>
          </cell>
          <cell r="L17">
            <v>176.53333333333333</v>
          </cell>
          <cell r="M17">
            <v>160.43333333333331</v>
          </cell>
          <cell r="N17">
            <v>135.19999999999999</v>
          </cell>
        </row>
        <row r="18">
          <cell r="D18" t="str">
            <v xml:space="preserve"> 4th Quarter</v>
          </cell>
          <cell r="E18">
            <v>175.56576106</v>
          </cell>
          <cell r="F18">
            <v>173.77006666666668</v>
          </cell>
          <cell r="G18">
            <v>157.01633333333334</v>
          </cell>
          <cell r="H18">
            <v>130.66666666666666</v>
          </cell>
          <cell r="I18">
            <v>141.16666666666666</v>
          </cell>
          <cell r="J18">
            <v>224.21862999999999</v>
          </cell>
          <cell r="K18">
            <v>185.21333333333334</v>
          </cell>
          <cell r="L18">
            <v>173.43333333333331</v>
          </cell>
          <cell r="M18">
            <v>161.26666666666668</v>
          </cell>
          <cell r="N18">
            <v>147.16666666666666</v>
          </cell>
        </row>
        <row r="20">
          <cell r="B20">
            <v>2008</v>
          </cell>
          <cell r="D20" t="str">
            <v xml:space="preserve"> 1st Quarter</v>
          </cell>
          <cell r="E20">
            <v>171.34460270666671</v>
          </cell>
          <cell r="F20">
            <v>166.06686666666667</v>
          </cell>
          <cell r="G20">
            <v>163.56</v>
          </cell>
          <cell r="H20">
            <v>146.46666666666667</v>
          </cell>
          <cell r="I20">
            <v>135.30000000000001</v>
          </cell>
          <cell r="J20">
            <v>221.08955333333333</v>
          </cell>
          <cell r="K20">
            <v>175.38899999999998</v>
          </cell>
          <cell r="L20">
            <v>177</v>
          </cell>
          <cell r="M20">
            <v>144.56666666666666</v>
          </cell>
          <cell r="N20">
            <v>146.9</v>
          </cell>
        </row>
        <row r="21">
          <cell r="D21" t="str">
            <v xml:space="preserve"> 2nd Quarter</v>
          </cell>
          <cell r="E21">
            <v>165.33842865333332</v>
          </cell>
          <cell r="F21">
            <v>165.90423333333334</v>
          </cell>
          <cell r="G21">
            <v>150.62966666666668</v>
          </cell>
          <cell r="H21">
            <v>130.30000000000001</v>
          </cell>
          <cell r="I21">
            <v>135.96666666666667</v>
          </cell>
          <cell r="J21">
            <v>193.99841000000001</v>
          </cell>
          <cell r="K21">
            <v>177.93466666666669</v>
          </cell>
          <cell r="L21">
            <v>160.9</v>
          </cell>
          <cell r="M21">
            <v>156.19999999999999</v>
          </cell>
          <cell r="N21">
            <v>147.6</v>
          </cell>
        </row>
        <row r="22">
          <cell r="D22" t="str">
            <v xml:space="preserve"> 3rd Quarter</v>
          </cell>
          <cell r="E22">
            <v>167.59866657333333</v>
          </cell>
          <cell r="F22">
            <v>170.18026666666671</v>
          </cell>
          <cell r="G22">
            <v>135.34899999999999</v>
          </cell>
          <cell r="H22">
            <v>146</v>
          </cell>
          <cell r="I22">
            <v>146.1</v>
          </cell>
          <cell r="J22">
            <v>213.10935333333336</v>
          </cell>
          <cell r="K22">
            <v>178.82033333333334</v>
          </cell>
          <cell r="L22">
            <v>183.0333333333333</v>
          </cell>
          <cell r="M22">
            <v>167.26666666666668</v>
          </cell>
          <cell r="N22">
            <v>142.19999999999999</v>
          </cell>
        </row>
        <row r="23">
          <cell r="D23" t="str">
            <v xml:space="preserve"> 4th Quarter</v>
          </cell>
          <cell r="E23">
            <v>184.09410295333333</v>
          </cell>
          <cell r="F23">
            <v>183.93823333333333</v>
          </cell>
          <cell r="G23">
            <v>163.81533333333334</v>
          </cell>
          <cell r="H23">
            <v>137.9</v>
          </cell>
          <cell r="I23">
            <v>150.63333333333335</v>
          </cell>
          <cell r="J23">
            <v>235.95006000000001</v>
          </cell>
          <cell r="K23">
            <v>181.06566666666666</v>
          </cell>
          <cell r="L23">
            <v>180.46666666666667</v>
          </cell>
          <cell r="M23">
            <v>168.16666666666669</v>
          </cell>
          <cell r="N23">
            <v>153.5</v>
          </cell>
        </row>
        <row r="25">
          <cell r="B25">
            <v>2009</v>
          </cell>
          <cell r="C25" t="str">
            <v>(c)</v>
          </cell>
          <cell r="D25" t="str">
            <v xml:space="preserve"> 1st Quarter</v>
          </cell>
          <cell r="E25">
            <v>177.13560508666669</v>
          </cell>
          <cell r="F25">
            <v>174.85996666666668</v>
          </cell>
          <cell r="G25">
            <v>172.2836666666667</v>
          </cell>
          <cell r="H25">
            <v>151.43333333333334</v>
          </cell>
          <cell r="I25">
            <v>140.69999999999999</v>
          </cell>
          <cell r="J25">
            <v>220.881</v>
          </cell>
          <cell r="K25">
            <v>162.01866666666669</v>
          </cell>
          <cell r="L25">
            <v>179.9</v>
          </cell>
          <cell r="M25">
            <v>148.36666666666665</v>
          </cell>
          <cell r="N25">
            <v>149.13333333333333</v>
          </cell>
        </row>
        <row r="26">
          <cell r="D26" t="str">
            <v xml:space="preserve"> 2nd Quarter</v>
          </cell>
          <cell r="E26">
            <v>165.93557536</v>
          </cell>
          <cell r="F26">
            <v>174.49343333333334</v>
          </cell>
          <cell r="G26">
            <v>136.68300000000002</v>
          </cell>
          <cell r="H26">
            <v>133.30000000000001</v>
          </cell>
          <cell r="I26">
            <v>140.29999999999998</v>
          </cell>
          <cell r="J26">
            <v>191.04586666666668</v>
          </cell>
          <cell r="K26">
            <v>171.01400000000001</v>
          </cell>
          <cell r="L26">
            <v>159.43333333333334</v>
          </cell>
          <cell r="M26">
            <v>161.43333333333334</v>
          </cell>
          <cell r="N26">
            <v>151.26666666666665</v>
          </cell>
        </row>
        <row r="27">
          <cell r="D27" t="str">
            <v xml:space="preserve"> 3rd Quarter</v>
          </cell>
          <cell r="E27">
            <v>172.17299179333338</v>
          </cell>
          <cell r="F27">
            <v>179.99843333333334</v>
          </cell>
          <cell r="G27">
            <v>134.71633333333332</v>
          </cell>
          <cell r="H27">
            <v>150.9</v>
          </cell>
          <cell r="I27">
            <v>151.86666666666667</v>
          </cell>
          <cell r="J27">
            <v>214.75890000000001</v>
          </cell>
          <cell r="K27">
            <v>167.666</v>
          </cell>
          <cell r="L27">
            <v>183.56666666666669</v>
          </cell>
          <cell r="M27">
            <v>171.53333333333333</v>
          </cell>
          <cell r="N27">
            <v>145.5</v>
          </cell>
        </row>
        <row r="28">
          <cell r="D28" t="str">
            <v xml:space="preserve"> 4th Quarter</v>
          </cell>
          <cell r="E28">
            <v>194.11311575333335</v>
          </cell>
          <cell r="F28">
            <v>195.81720000000004</v>
          </cell>
          <cell r="G28">
            <v>167.88866666666669</v>
          </cell>
          <cell r="H28">
            <v>143.33333333333334</v>
          </cell>
          <cell r="I28">
            <v>158.46666666666667</v>
          </cell>
          <cell r="J28">
            <v>253.84193333333337</v>
          </cell>
          <cell r="K28">
            <v>184.07399999999998</v>
          </cell>
          <cell r="L28">
            <v>182.80000000000004</v>
          </cell>
          <cell r="M28">
            <v>175.83333333333334</v>
          </cell>
          <cell r="N28">
            <v>161.93333333333334</v>
          </cell>
        </row>
        <row r="30">
          <cell r="B30">
            <v>2010</v>
          </cell>
          <cell r="C30" t="str">
            <v>(d)</v>
          </cell>
          <cell r="D30" t="str">
            <v xml:space="preserve"> 1st Quarter</v>
          </cell>
          <cell r="E30">
            <v>186.8</v>
          </cell>
          <cell r="F30">
            <v>186.9</v>
          </cell>
          <cell r="G30">
            <v>172.1</v>
          </cell>
          <cell r="H30">
            <v>159.6</v>
          </cell>
          <cell r="I30">
            <v>150.1</v>
          </cell>
          <cell r="J30">
            <v>236.8</v>
          </cell>
          <cell r="K30">
            <v>175.1</v>
          </cell>
          <cell r="L30">
            <v>188.1</v>
          </cell>
          <cell r="M30">
            <v>157.30000000000001</v>
          </cell>
          <cell r="N30">
            <v>162.6</v>
          </cell>
        </row>
        <row r="31">
          <cell r="D31" t="str">
            <v xml:space="preserve"> 2nd Quarter</v>
          </cell>
          <cell r="E31">
            <v>181.5733534</v>
          </cell>
          <cell r="F31">
            <v>186.40153333333333</v>
          </cell>
          <cell r="G31">
            <v>147.49333333333334</v>
          </cell>
          <cell r="H31">
            <v>141.73333333333335</v>
          </cell>
          <cell r="I31">
            <v>149.66666666666666</v>
          </cell>
          <cell r="J31">
            <v>222.51813333333334</v>
          </cell>
          <cell r="K31">
            <v>198.20599999999999</v>
          </cell>
          <cell r="L31">
            <v>168.7</v>
          </cell>
          <cell r="M31">
            <v>178.93333333333331</v>
          </cell>
          <cell r="N31">
            <v>165.96666666666667</v>
          </cell>
        </row>
        <row r="32">
          <cell r="D32" t="str">
            <v xml:space="preserve"> 3rd Quarter</v>
          </cell>
          <cell r="E32">
            <v>186.3</v>
          </cell>
          <cell r="F32">
            <v>192.32126666666667</v>
          </cell>
          <cell r="G32">
            <v>139.67833333333334</v>
          </cell>
          <cell r="H32">
            <v>159.80000000000001</v>
          </cell>
          <cell r="I32">
            <v>160.46666666666667</v>
          </cell>
          <cell r="J32">
            <v>240.28903333333335</v>
          </cell>
          <cell r="K32">
            <v>200.09466666666665</v>
          </cell>
          <cell r="L32">
            <v>194.83333333333334</v>
          </cell>
          <cell r="M32">
            <v>192.63333333333335</v>
          </cell>
          <cell r="N32">
            <v>153.86666666666665</v>
          </cell>
        </row>
        <row r="33">
          <cell r="D33" t="str">
            <v xml:space="preserve"> 4th Quarter</v>
          </cell>
          <cell r="E33">
            <v>216.18386653333332</v>
          </cell>
          <cell r="F33">
            <v>208.88033333333331</v>
          </cell>
          <cell r="G33">
            <v>204.88166666666666</v>
          </cell>
          <cell r="H33">
            <v>151.9</v>
          </cell>
          <cell r="I33">
            <v>168.16666666666666</v>
          </cell>
          <cell r="J33">
            <v>293.63076666666666</v>
          </cell>
          <cell r="K33">
            <v>196.39966666666666</v>
          </cell>
          <cell r="L33">
            <v>191.43333333333331</v>
          </cell>
          <cell r="M33">
            <v>188.6</v>
          </cell>
          <cell r="N33">
            <v>170.66666666666666</v>
          </cell>
        </row>
        <row r="35">
          <cell r="B35">
            <v>2008</v>
          </cell>
          <cell r="D35" t="str">
            <v>January</v>
          </cell>
          <cell r="E35">
            <v>168.01856742000001</v>
          </cell>
          <cell r="F35">
            <v>154.26480000000001</v>
          </cell>
          <cell r="G35">
            <v>164.60299999999998</v>
          </cell>
          <cell r="H35">
            <v>155.19999999999999</v>
          </cell>
          <cell r="I35">
            <v>138.19999999999999</v>
          </cell>
          <cell r="J35">
            <v>239.82291000000004</v>
          </cell>
          <cell r="K35">
            <v>163.94200000000001</v>
          </cell>
          <cell r="L35">
            <v>199.3</v>
          </cell>
          <cell r="M35">
            <v>140.6</v>
          </cell>
          <cell r="N35">
            <v>150.19999999999999</v>
          </cell>
        </row>
        <row r="36">
          <cell r="D36" t="str">
            <v>February</v>
          </cell>
          <cell r="E36">
            <v>168.03263532000003</v>
          </cell>
          <cell r="F36">
            <v>152.2688</v>
          </cell>
          <cell r="G36">
            <v>178.36700000000002</v>
          </cell>
          <cell r="H36">
            <v>156.80000000000001</v>
          </cell>
          <cell r="I36">
            <v>120.4</v>
          </cell>
          <cell r="J36">
            <v>224.28335999999999</v>
          </cell>
          <cell r="K36">
            <v>169.02199999999999</v>
          </cell>
          <cell r="L36">
            <v>166.6</v>
          </cell>
          <cell r="M36">
            <v>140.1</v>
          </cell>
          <cell r="N36">
            <v>146.69999999999999</v>
          </cell>
        </row>
        <row r="37">
          <cell r="D37" t="str">
            <v>March</v>
          </cell>
          <cell r="E37">
            <v>177.98260538000002</v>
          </cell>
          <cell r="F37">
            <v>191.667</v>
          </cell>
          <cell r="G37">
            <v>147.71</v>
          </cell>
          <cell r="H37">
            <v>127.4</v>
          </cell>
          <cell r="I37">
            <v>147.30000000000001</v>
          </cell>
          <cell r="J37">
            <v>199.16239000000002</v>
          </cell>
          <cell r="K37">
            <v>193.20299999999997</v>
          </cell>
          <cell r="L37">
            <v>165.1</v>
          </cell>
          <cell r="M37">
            <v>153</v>
          </cell>
          <cell r="N37">
            <v>143.80000000000001</v>
          </cell>
        </row>
        <row r="38">
          <cell r="D38" t="str">
            <v>April</v>
          </cell>
          <cell r="E38">
            <v>171.95730503999999</v>
          </cell>
          <cell r="F38">
            <v>178.47820000000002</v>
          </cell>
          <cell r="G38">
            <v>145.70400000000001</v>
          </cell>
          <cell r="H38">
            <v>127.6</v>
          </cell>
          <cell r="I38">
            <v>124.7</v>
          </cell>
          <cell r="J38">
            <v>209.28071999999997</v>
          </cell>
          <cell r="K38">
            <v>170.50899999999999</v>
          </cell>
          <cell r="L38">
            <v>162.80000000000001</v>
          </cell>
          <cell r="M38">
            <v>154.6</v>
          </cell>
          <cell r="N38">
            <v>160</v>
          </cell>
        </row>
        <row r="39">
          <cell r="D39" t="str">
            <v>May</v>
          </cell>
          <cell r="E39">
            <v>165.68892678000003</v>
          </cell>
          <cell r="F39">
            <v>169.09370000000004</v>
          </cell>
          <cell r="G39">
            <v>151.815</v>
          </cell>
          <cell r="H39">
            <v>124.3</v>
          </cell>
          <cell r="I39">
            <v>144.5</v>
          </cell>
          <cell r="J39">
            <v>186.58394000000001</v>
          </cell>
          <cell r="K39">
            <v>177.30700000000002</v>
          </cell>
          <cell r="L39">
            <v>149.5</v>
          </cell>
          <cell r="M39">
            <v>154</v>
          </cell>
          <cell r="N39">
            <v>141.30000000000001</v>
          </cell>
        </row>
        <row r="40">
          <cell r="D40" t="str">
            <v>June</v>
          </cell>
          <cell r="E40">
            <v>158.36905414000003</v>
          </cell>
          <cell r="F40">
            <v>150.14080000000001</v>
          </cell>
          <cell r="G40">
            <v>154.37</v>
          </cell>
          <cell r="H40">
            <v>139</v>
          </cell>
          <cell r="I40">
            <v>138.69999999999999</v>
          </cell>
          <cell r="J40">
            <v>186.13057000000001</v>
          </cell>
          <cell r="K40">
            <v>185.988</v>
          </cell>
          <cell r="L40">
            <v>170.4</v>
          </cell>
          <cell r="M40">
            <v>160</v>
          </cell>
          <cell r="N40">
            <v>141.5</v>
          </cell>
        </row>
        <row r="41">
          <cell r="D41" t="str">
            <v>July</v>
          </cell>
          <cell r="E41">
            <v>164.98789884000007</v>
          </cell>
          <cell r="F41">
            <v>168.83020000000005</v>
          </cell>
          <cell r="G41">
            <v>132.833</v>
          </cell>
          <cell r="H41">
            <v>151.1</v>
          </cell>
          <cell r="I41">
            <v>141.19999999999999</v>
          </cell>
          <cell r="J41">
            <v>211.28362000000001</v>
          </cell>
          <cell r="K41">
            <v>184.17</v>
          </cell>
          <cell r="L41">
            <v>182.5</v>
          </cell>
          <cell r="M41">
            <v>149.80000000000001</v>
          </cell>
          <cell r="N41">
            <v>136</v>
          </cell>
        </row>
        <row r="42">
          <cell r="D42" t="str">
            <v>August</v>
          </cell>
          <cell r="E42">
            <v>175.69312446000004</v>
          </cell>
          <cell r="F42">
            <v>171.11910000000003</v>
          </cell>
          <cell r="G42">
            <v>151.66899999999998</v>
          </cell>
          <cell r="H42">
            <v>169.7</v>
          </cell>
          <cell r="I42">
            <v>171</v>
          </cell>
          <cell r="J42">
            <v>232.41118000000003</v>
          </cell>
          <cell r="K42">
            <v>170.11599999999999</v>
          </cell>
          <cell r="L42">
            <v>199.9</v>
          </cell>
          <cell r="M42">
            <v>182</v>
          </cell>
          <cell r="N42">
            <v>152</v>
          </cell>
        </row>
        <row r="43">
          <cell r="D43" t="str">
            <v>September</v>
          </cell>
          <cell r="E43">
            <v>162.11497641999998</v>
          </cell>
          <cell r="F43">
            <v>170.5915</v>
          </cell>
          <cell r="G43">
            <v>121.545</v>
          </cell>
          <cell r="H43">
            <v>117.2</v>
          </cell>
          <cell r="I43">
            <v>126.1</v>
          </cell>
          <cell r="J43">
            <v>195.63326000000001</v>
          </cell>
          <cell r="K43">
            <v>182.17500000000001</v>
          </cell>
          <cell r="L43">
            <v>166.7</v>
          </cell>
          <cell r="M43">
            <v>170</v>
          </cell>
          <cell r="N43">
            <v>138.6</v>
          </cell>
        </row>
        <row r="44">
          <cell r="D44" t="str">
            <v>October</v>
          </cell>
          <cell r="E44">
            <v>180.06060132000005</v>
          </cell>
          <cell r="F44">
            <v>180.21710000000002</v>
          </cell>
          <cell r="G44">
            <v>162.50100000000003</v>
          </cell>
          <cell r="H44">
            <v>125</v>
          </cell>
          <cell r="I44">
            <v>154.19999999999999</v>
          </cell>
          <cell r="J44">
            <v>230.97351000000003</v>
          </cell>
          <cell r="K44">
            <v>187.51599999999999</v>
          </cell>
          <cell r="L44">
            <v>170.7</v>
          </cell>
          <cell r="M44">
            <v>151.4</v>
          </cell>
          <cell r="N44">
            <v>142.1</v>
          </cell>
        </row>
        <row r="45">
          <cell r="D45" t="str">
            <v>November</v>
          </cell>
          <cell r="E45">
            <v>189.43822244000003</v>
          </cell>
          <cell r="F45">
            <v>181.57170000000002</v>
          </cell>
          <cell r="G45">
            <v>183.89699999999999</v>
          </cell>
          <cell r="H45">
            <v>146.19999999999999</v>
          </cell>
          <cell r="I45">
            <v>148.4</v>
          </cell>
          <cell r="J45">
            <v>242.48817000000003</v>
          </cell>
          <cell r="K45">
            <v>183.45600000000002</v>
          </cell>
          <cell r="L45">
            <v>202.2</v>
          </cell>
          <cell r="M45">
            <v>176.8</v>
          </cell>
          <cell r="N45">
            <v>157.69999999999999</v>
          </cell>
        </row>
        <row r="46">
          <cell r="D46" t="str">
            <v>December</v>
          </cell>
          <cell r="E46">
            <v>182.78348510000001</v>
          </cell>
          <cell r="F46">
            <v>190.02590000000001</v>
          </cell>
          <cell r="G46">
            <v>145.048</v>
          </cell>
          <cell r="H46">
            <v>142.5</v>
          </cell>
          <cell r="I46">
            <v>149.30000000000001</v>
          </cell>
          <cell r="J46">
            <v>234.38849999999999</v>
          </cell>
          <cell r="K46">
            <v>172.22499999999999</v>
          </cell>
          <cell r="L46">
            <v>168.5</v>
          </cell>
          <cell r="M46">
            <v>176.3</v>
          </cell>
          <cell r="N46">
            <v>160.69999999999999</v>
          </cell>
        </row>
        <row r="48">
          <cell r="B48">
            <v>2009</v>
          </cell>
          <cell r="C48" t="str">
            <v>(c)</v>
          </cell>
          <cell r="D48" t="str">
            <v>January</v>
          </cell>
          <cell r="E48">
            <v>172.76357159999998</v>
          </cell>
          <cell r="F48">
            <v>162.37709999999998</v>
          </cell>
          <cell r="G48">
            <v>171.19400000000002</v>
          </cell>
          <cell r="H48">
            <v>160.6</v>
          </cell>
          <cell r="I48">
            <v>143.80000000000001</v>
          </cell>
          <cell r="J48">
            <v>241.66030000000001</v>
          </cell>
          <cell r="K48">
            <v>139.70100000000002</v>
          </cell>
          <cell r="L48">
            <v>204.6</v>
          </cell>
          <cell r="M48">
            <v>144.69999999999999</v>
          </cell>
          <cell r="N48">
            <v>151.80000000000001</v>
          </cell>
        </row>
        <row r="49">
          <cell r="D49" t="str">
            <v>February</v>
          </cell>
          <cell r="E49">
            <v>174.12104650000003</v>
          </cell>
          <cell r="F49">
            <v>159.90360000000004</v>
          </cell>
          <cell r="G49">
            <v>189.82300000000004</v>
          </cell>
          <cell r="H49">
            <v>162</v>
          </cell>
          <cell r="I49">
            <v>125.1</v>
          </cell>
          <cell r="J49">
            <v>222.3887</v>
          </cell>
          <cell r="K49">
            <v>164.77800000000002</v>
          </cell>
          <cell r="L49">
            <v>168.1</v>
          </cell>
          <cell r="M49">
            <v>143.69999999999999</v>
          </cell>
          <cell r="N49">
            <v>149.6</v>
          </cell>
        </row>
        <row r="50">
          <cell r="D50" t="str">
            <v>March</v>
          </cell>
          <cell r="E50">
            <v>184.52219716000002</v>
          </cell>
          <cell r="F50">
            <v>202.29920000000001</v>
          </cell>
          <cell r="G50">
            <v>155.83400000000003</v>
          </cell>
          <cell r="H50">
            <v>131.69999999999999</v>
          </cell>
          <cell r="I50">
            <v>153.19999999999999</v>
          </cell>
          <cell r="J50">
            <v>198.59399999999999</v>
          </cell>
          <cell r="K50">
            <v>181.577</v>
          </cell>
          <cell r="L50">
            <v>167</v>
          </cell>
          <cell r="M50">
            <v>156.69999999999999</v>
          </cell>
          <cell r="N50">
            <v>146</v>
          </cell>
        </row>
        <row r="51">
          <cell r="D51" t="str">
            <v>April</v>
          </cell>
          <cell r="E51">
            <v>173.34135118000003</v>
          </cell>
          <cell r="F51">
            <v>187.29450000000003</v>
          </cell>
          <cell r="G51">
            <v>132.76600000000002</v>
          </cell>
          <cell r="H51">
            <v>130.4</v>
          </cell>
          <cell r="I51">
            <v>129.19999999999999</v>
          </cell>
          <cell r="J51">
            <v>205.76130000000001</v>
          </cell>
          <cell r="K51">
            <v>180.238</v>
          </cell>
          <cell r="L51">
            <v>161.5</v>
          </cell>
          <cell r="M51">
            <v>156.19999999999999</v>
          </cell>
          <cell r="N51">
            <v>161.69999999999999</v>
          </cell>
        </row>
        <row r="52">
          <cell r="D52" t="str">
            <v>May</v>
          </cell>
          <cell r="E52">
            <v>162.26835116000001</v>
          </cell>
          <cell r="F52">
            <v>177.26920000000001</v>
          </cell>
          <cell r="G52">
            <v>124.756</v>
          </cell>
          <cell r="H52">
            <v>126.2</v>
          </cell>
          <cell r="I52">
            <v>147.6</v>
          </cell>
          <cell r="J52">
            <v>183.23290000000003</v>
          </cell>
          <cell r="K52">
            <v>155.53100000000001</v>
          </cell>
          <cell r="L52">
            <v>148</v>
          </cell>
          <cell r="M52">
            <v>159.80000000000001</v>
          </cell>
          <cell r="N52">
            <v>141.69999999999999</v>
          </cell>
        </row>
        <row r="53">
          <cell r="D53" t="str">
            <v>June</v>
          </cell>
          <cell r="E53">
            <v>162.19702373999999</v>
          </cell>
          <cell r="F53">
            <v>158.91659999999999</v>
          </cell>
          <cell r="G53">
            <v>152.52700000000002</v>
          </cell>
          <cell r="H53">
            <v>143.30000000000001</v>
          </cell>
          <cell r="I53">
            <v>144.1</v>
          </cell>
          <cell r="J53">
            <v>184.14339999999999</v>
          </cell>
          <cell r="K53">
            <v>177.27300000000002</v>
          </cell>
          <cell r="L53">
            <v>168.8</v>
          </cell>
          <cell r="M53">
            <v>168.3</v>
          </cell>
          <cell r="N53">
            <v>150.4</v>
          </cell>
        </row>
        <row r="54">
          <cell r="D54" t="str">
            <v>July</v>
          </cell>
          <cell r="E54">
            <v>164.40888520000001</v>
          </cell>
          <cell r="F54">
            <v>178.25050000000002</v>
          </cell>
          <cell r="G54">
            <v>113.02799999999999</v>
          </cell>
          <cell r="H54">
            <v>155.69999999999999</v>
          </cell>
          <cell r="I54">
            <v>147.19999999999999</v>
          </cell>
          <cell r="J54">
            <v>209.5771</v>
          </cell>
          <cell r="K54">
            <v>172.04599999999999</v>
          </cell>
          <cell r="L54">
            <v>182.2</v>
          </cell>
          <cell r="M54">
            <v>153</v>
          </cell>
          <cell r="N54">
            <v>139.19999999999999</v>
          </cell>
        </row>
        <row r="55">
          <cell r="D55" t="str">
            <v>August</v>
          </cell>
          <cell r="E55">
            <v>184.01038464000004</v>
          </cell>
          <cell r="F55">
            <v>180.87129999999999</v>
          </cell>
          <cell r="G55">
            <v>165.35199999999998</v>
          </cell>
          <cell r="H55">
            <v>176</v>
          </cell>
          <cell r="I55">
            <v>177.9</v>
          </cell>
          <cell r="J55">
            <v>235.63840000000002</v>
          </cell>
          <cell r="K55">
            <v>164.28399999999999</v>
          </cell>
          <cell r="L55">
            <v>200.8</v>
          </cell>
          <cell r="M55">
            <v>186.5</v>
          </cell>
          <cell r="N55">
            <v>155</v>
          </cell>
        </row>
        <row r="56">
          <cell r="D56" t="str">
            <v>September</v>
          </cell>
          <cell r="E56">
            <v>168.09970554000003</v>
          </cell>
          <cell r="F56">
            <v>180.87350000000004</v>
          </cell>
          <cell r="G56">
            <v>125.76900000000002</v>
          </cell>
          <cell r="H56">
            <v>121</v>
          </cell>
          <cell r="I56">
            <v>130.5</v>
          </cell>
          <cell r="J56">
            <v>199.06119999999999</v>
          </cell>
          <cell r="K56">
            <v>166.66800000000001</v>
          </cell>
          <cell r="L56">
            <v>167.7</v>
          </cell>
          <cell r="M56">
            <v>175.1</v>
          </cell>
          <cell r="N56">
            <v>142.30000000000001</v>
          </cell>
        </row>
        <row r="57">
          <cell r="D57" t="str">
            <v>October</v>
          </cell>
          <cell r="E57">
            <v>188.65860950000001</v>
          </cell>
          <cell r="F57">
            <v>191.48870000000002</v>
          </cell>
          <cell r="G57">
            <v>166.75299999999999</v>
          </cell>
          <cell r="H57">
            <v>129.69999999999999</v>
          </cell>
          <cell r="I57">
            <v>160.4</v>
          </cell>
          <cell r="J57">
            <v>247.02120000000002</v>
          </cell>
          <cell r="K57">
            <v>178.86299999999997</v>
          </cell>
          <cell r="L57">
            <v>171.5</v>
          </cell>
          <cell r="M57">
            <v>156.19999999999999</v>
          </cell>
          <cell r="N57">
            <v>146.30000000000001</v>
          </cell>
        </row>
        <row r="58">
          <cell r="D58" t="str">
            <v>November</v>
          </cell>
          <cell r="E58">
            <v>198.72350976000004</v>
          </cell>
          <cell r="F58">
            <v>193.7081</v>
          </cell>
          <cell r="G58">
            <v>188.16</v>
          </cell>
          <cell r="H58">
            <v>151.9</v>
          </cell>
          <cell r="I58">
            <v>156.1</v>
          </cell>
          <cell r="J58">
            <v>255.58969999999999</v>
          </cell>
          <cell r="K58">
            <v>183.773</v>
          </cell>
          <cell r="L58">
            <v>204.6</v>
          </cell>
          <cell r="M58">
            <v>182.3</v>
          </cell>
          <cell r="N58">
            <v>169.8</v>
          </cell>
        </row>
        <row r="59">
          <cell r="D59" t="str">
            <v>December</v>
          </cell>
          <cell r="E59">
            <v>194.95722800000004</v>
          </cell>
          <cell r="F59">
            <v>202.25480000000005</v>
          </cell>
          <cell r="G59">
            <v>148.75300000000001</v>
          </cell>
          <cell r="H59">
            <v>148.4</v>
          </cell>
          <cell r="I59">
            <v>158.9</v>
          </cell>
          <cell r="J59">
            <v>258.91490000000005</v>
          </cell>
          <cell r="K59">
            <v>189.58599999999998</v>
          </cell>
          <cell r="L59">
            <v>172.3</v>
          </cell>
          <cell r="M59">
            <v>189</v>
          </cell>
          <cell r="N59">
            <v>169.7</v>
          </cell>
        </row>
        <row r="61">
          <cell r="B61">
            <v>2010</v>
          </cell>
          <cell r="C61" t="str">
            <v>(d)</v>
          </cell>
          <cell r="D61" t="str">
            <v>January</v>
          </cell>
          <cell r="E61">
            <v>180.6</v>
          </cell>
          <cell r="F61">
            <v>173.1</v>
          </cell>
          <cell r="G61">
            <v>167.5</v>
          </cell>
          <cell r="H61">
            <v>168.8</v>
          </cell>
          <cell r="I61">
            <v>152.9</v>
          </cell>
          <cell r="J61">
            <v>253.7</v>
          </cell>
          <cell r="K61">
            <v>155.69999999999999</v>
          </cell>
          <cell r="L61">
            <v>213.6</v>
          </cell>
          <cell r="M61">
            <v>153.69999999999999</v>
          </cell>
          <cell r="N61">
            <v>165.3</v>
          </cell>
        </row>
        <row r="62">
          <cell r="D62" t="str">
            <v>February</v>
          </cell>
          <cell r="E62">
            <v>184.1</v>
          </cell>
          <cell r="F62">
            <v>171.1</v>
          </cell>
          <cell r="G62">
            <v>191</v>
          </cell>
          <cell r="H62">
            <v>171.1</v>
          </cell>
          <cell r="I62">
            <v>133.5</v>
          </cell>
          <cell r="J62">
            <v>241.7</v>
          </cell>
          <cell r="K62">
            <v>177.7</v>
          </cell>
          <cell r="L62">
            <v>176.1</v>
          </cell>
          <cell r="M62">
            <v>152.30000000000001</v>
          </cell>
          <cell r="N62">
            <v>162.5</v>
          </cell>
        </row>
        <row r="63">
          <cell r="D63" t="str">
            <v>March</v>
          </cell>
          <cell r="E63">
            <v>195.6</v>
          </cell>
          <cell r="F63">
            <v>216.6</v>
          </cell>
          <cell r="G63">
            <v>157.9</v>
          </cell>
          <cell r="H63">
            <v>139</v>
          </cell>
          <cell r="I63">
            <v>164</v>
          </cell>
          <cell r="J63">
            <v>215</v>
          </cell>
          <cell r="K63">
            <v>192.1</v>
          </cell>
          <cell r="L63">
            <v>174.7</v>
          </cell>
          <cell r="M63">
            <v>165.9</v>
          </cell>
          <cell r="N63">
            <v>160</v>
          </cell>
        </row>
        <row r="64">
          <cell r="D64" t="str">
            <v>April</v>
          </cell>
          <cell r="E64">
            <v>186.6</v>
          </cell>
          <cell r="F64">
            <v>200.3</v>
          </cell>
          <cell r="G64">
            <v>134.6</v>
          </cell>
          <cell r="H64">
            <v>137.4</v>
          </cell>
          <cell r="I64">
            <v>138</v>
          </cell>
          <cell r="J64">
            <v>224.5</v>
          </cell>
          <cell r="K64">
            <v>202.2</v>
          </cell>
          <cell r="L64">
            <v>169.1</v>
          </cell>
          <cell r="M64">
            <v>190.2</v>
          </cell>
          <cell r="N64">
            <v>176.2</v>
          </cell>
        </row>
        <row r="65">
          <cell r="D65" t="str">
            <v>May</v>
          </cell>
          <cell r="E65">
            <v>177.5</v>
          </cell>
          <cell r="F65">
            <v>189.3</v>
          </cell>
          <cell r="G65">
            <v>136.4</v>
          </cell>
          <cell r="H65">
            <v>134.19999999999999</v>
          </cell>
          <cell r="I65">
            <v>157.19999999999999</v>
          </cell>
          <cell r="J65">
            <v>215.3</v>
          </cell>
          <cell r="K65">
            <v>182.3</v>
          </cell>
          <cell r="L65">
            <v>157.30000000000001</v>
          </cell>
          <cell r="M65">
            <v>169</v>
          </cell>
          <cell r="N65">
            <v>155.69999999999999</v>
          </cell>
        </row>
        <row r="66">
          <cell r="D66" t="str">
            <v>June</v>
          </cell>
          <cell r="E66">
            <v>180.56158139999999</v>
          </cell>
          <cell r="F66">
            <v>169.62299999999999</v>
          </cell>
          <cell r="G66">
            <v>171.542</v>
          </cell>
          <cell r="H66">
            <v>153.6</v>
          </cell>
          <cell r="I66">
            <v>153.80000000000001</v>
          </cell>
          <cell r="J66">
            <v>227.78719999999998</v>
          </cell>
          <cell r="K66">
            <v>210.07799999999997</v>
          </cell>
          <cell r="L66">
            <v>179.7</v>
          </cell>
          <cell r="M66">
            <v>177.6</v>
          </cell>
          <cell r="N66">
            <v>166</v>
          </cell>
        </row>
        <row r="67">
          <cell r="D67" t="str">
            <v>July</v>
          </cell>
          <cell r="E67">
            <v>177.12379210000003</v>
          </cell>
          <cell r="F67">
            <v>190.55529999999996</v>
          </cell>
          <cell r="G67">
            <v>114.566</v>
          </cell>
          <cell r="H67">
            <v>165.1</v>
          </cell>
          <cell r="I67">
            <v>155.4</v>
          </cell>
          <cell r="J67">
            <v>231.93920000000003</v>
          </cell>
          <cell r="K67">
            <v>212.50799999999998</v>
          </cell>
          <cell r="L67">
            <v>193.4</v>
          </cell>
          <cell r="M67">
            <v>166.9</v>
          </cell>
          <cell r="N67">
            <v>147.1</v>
          </cell>
        </row>
        <row r="68">
          <cell r="D68" t="str">
            <v>August</v>
          </cell>
          <cell r="E68">
            <v>199.7</v>
          </cell>
          <cell r="F68">
            <v>193</v>
          </cell>
          <cell r="G68">
            <v>166.9</v>
          </cell>
          <cell r="H68">
            <v>186</v>
          </cell>
          <cell r="I68">
            <v>188.2</v>
          </cell>
          <cell r="J68">
            <v>267.8</v>
          </cell>
          <cell r="K68">
            <v>194.4</v>
          </cell>
          <cell r="L68">
            <v>213.2</v>
          </cell>
          <cell r="M68">
            <v>228.2</v>
          </cell>
          <cell r="N68">
            <v>164.3</v>
          </cell>
        </row>
        <row r="69">
          <cell r="D69" t="str">
            <v>September</v>
          </cell>
          <cell r="E69">
            <v>182</v>
          </cell>
          <cell r="F69">
            <v>193.40069999999997</v>
          </cell>
          <cell r="G69">
            <v>137.601</v>
          </cell>
          <cell r="H69">
            <v>128.30000000000001</v>
          </cell>
          <cell r="I69">
            <v>137.80000000000001</v>
          </cell>
          <cell r="J69">
            <v>221.13690000000003</v>
          </cell>
          <cell r="K69">
            <v>193.33699999999999</v>
          </cell>
          <cell r="L69">
            <v>177.9</v>
          </cell>
          <cell r="M69">
            <v>182.8</v>
          </cell>
          <cell r="N69">
            <v>150.19999999999999</v>
          </cell>
        </row>
        <row r="70">
          <cell r="D70" t="str">
            <v>October</v>
          </cell>
          <cell r="E70">
            <v>211.9</v>
          </cell>
          <cell r="F70">
            <v>204.75890000000001</v>
          </cell>
          <cell r="G70">
            <v>202.85800000000003</v>
          </cell>
          <cell r="H70">
            <v>137.19999999999999</v>
          </cell>
          <cell r="I70">
            <v>169.9</v>
          </cell>
          <cell r="J70">
            <v>292.40609999999998</v>
          </cell>
          <cell r="K70">
            <v>201.44399999999999</v>
          </cell>
          <cell r="L70">
            <v>178.9</v>
          </cell>
          <cell r="M70">
            <v>168.2</v>
          </cell>
          <cell r="N70">
            <v>154.19999999999999</v>
          </cell>
        </row>
        <row r="71">
          <cell r="D71" t="str">
            <v>November</v>
          </cell>
          <cell r="E71">
            <v>221.38217829999996</v>
          </cell>
          <cell r="F71">
            <v>207.12009999999998</v>
          </cell>
          <cell r="G71">
            <v>230.33500000000001</v>
          </cell>
          <cell r="H71">
            <v>160.9</v>
          </cell>
          <cell r="I71">
            <v>165.4</v>
          </cell>
          <cell r="J71">
            <v>292.48520000000002</v>
          </cell>
          <cell r="K71">
            <v>187.40800000000002</v>
          </cell>
          <cell r="L71">
            <v>214.5</v>
          </cell>
          <cell r="M71">
            <v>196.5</v>
          </cell>
          <cell r="N71">
            <v>178.6</v>
          </cell>
        </row>
        <row r="72">
          <cell r="D72" t="str">
            <v>December</v>
          </cell>
          <cell r="E72">
            <v>215.30822099999995</v>
          </cell>
          <cell r="F72">
            <v>214.76199999999997</v>
          </cell>
          <cell r="G72">
            <v>181.452</v>
          </cell>
          <cell r="H72">
            <v>157.6</v>
          </cell>
          <cell r="I72">
            <v>169.2</v>
          </cell>
          <cell r="J72">
            <v>296.00099999999998</v>
          </cell>
          <cell r="K72">
            <v>200.34700000000001</v>
          </cell>
          <cell r="L72">
            <v>180.9</v>
          </cell>
          <cell r="M72">
            <v>201.1</v>
          </cell>
          <cell r="N72">
            <v>179.2</v>
          </cell>
        </row>
        <row r="74">
          <cell r="B74" t="str">
            <v xml:space="preserve">(a) The Private Sector Monthly Industrial Production Volume Index is calculated on the basis of information received </v>
          </cell>
          <cell r="L74" t="str">
            <v>Source: Central Bank of Sri Lanka</v>
          </cell>
        </row>
        <row r="75">
          <cell r="B75" t="str">
            <v xml:space="preserve">      from 150 major industrial firms, both in the BOI and Non-BOI Sectors.</v>
          </cell>
        </row>
        <row r="76">
          <cell r="B76" t="str">
            <v>(b) The weights used for the compilation of Private Sector Industrial Production Volume Index have been adjusted based on the Industrial Survey</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page"/>
      <sheetName val="Coverpage_TS"/>
      <sheetName val="BUControlSheet"/>
      <sheetName val="Control"/>
      <sheetName val="Control_TS"/>
      <sheetName val="Inward"/>
      <sheetName val="Outward"/>
      <sheetName val="Inward_TS"/>
      <sheetName val="Outward_TS"/>
      <sheetName val="ValidationSheet"/>
      <sheetName val="Report Form"/>
      <sheetName val="Inward-DL"/>
      <sheetName val="Outward-DL"/>
      <sheetName val="Coverpage-DL"/>
    </sheetNames>
    <sheetDataSet>
      <sheetData sheetId="0"/>
      <sheetData sheetId="1"/>
      <sheetData sheetId="2"/>
      <sheetData sheetId="3"/>
      <sheetData sheetId="4">
        <row r="28">
          <cell r="B28">
            <v>524</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ntents"/>
      <sheetName val="TABLE 46"/>
      <sheetName val="TABLE 46(Cont.)"/>
      <sheetName val="TABLE 47"/>
      <sheetName val="TABLE 48"/>
      <sheetName val="TABLE 49"/>
      <sheetName val="TABLE 50"/>
    </sheetNames>
    <sheetDataSet>
      <sheetData sheetId="0" refreshError="1"/>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page"/>
      <sheetName val="Coverpage_TS"/>
      <sheetName val="BUControlSheet"/>
      <sheetName val="Control"/>
      <sheetName val="Control_TS"/>
      <sheetName val="Inward"/>
      <sheetName val="Outward"/>
      <sheetName val="Inward_TS"/>
      <sheetName val="Outward_TS"/>
      <sheetName val="ValidationSheet"/>
      <sheetName val="Report Form"/>
      <sheetName val="Inward-DL"/>
      <sheetName val="Outward-DL"/>
      <sheetName val="Coverpage-DL"/>
    </sheetNames>
    <sheetDataSet>
      <sheetData sheetId="0"/>
      <sheetData sheetId="1"/>
      <sheetData sheetId="2"/>
      <sheetData sheetId="3"/>
      <sheetData sheetId="4">
        <row r="28">
          <cell r="B28">
            <v>524</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0965E-A979-47A4-BC82-F6EF0E413107}">
  <sheetPr>
    <pageSetUpPr fitToPage="1"/>
  </sheetPr>
  <dimension ref="B1:C30"/>
  <sheetViews>
    <sheetView tabSelected="1" zoomScaleNormal="100" workbookViewId="0">
      <pane ySplit="6" topLeftCell="A7" activePane="bottomLeft" state="frozen"/>
      <selection pane="bottomLeft" activeCell="B4" sqref="B4:C4"/>
    </sheetView>
  </sheetViews>
  <sheetFormatPr defaultRowHeight="15.75" x14ac:dyDescent="0.25"/>
  <cols>
    <col min="1" max="1" width="3.140625" style="2" customWidth="1"/>
    <col min="2" max="2" width="111.5703125" style="2" customWidth="1"/>
    <col min="3" max="3" width="18.7109375" style="2" customWidth="1"/>
    <col min="4" max="16384" width="9.140625" style="2"/>
  </cols>
  <sheetData>
    <row r="1" spans="2:3" ht="20.25" x14ac:dyDescent="0.3">
      <c r="B1" s="206" t="s">
        <v>11</v>
      </c>
      <c r="C1" s="206"/>
    </row>
    <row r="2" spans="2:3" ht="18.75" x14ac:dyDescent="0.3">
      <c r="B2" s="207" t="s">
        <v>29</v>
      </c>
      <c r="C2" s="207"/>
    </row>
    <row r="3" spans="2:3" x14ac:dyDescent="0.25">
      <c r="B3" s="205" t="s">
        <v>8</v>
      </c>
      <c r="C3" s="205"/>
    </row>
    <row r="4" spans="2:3" ht="18.75" x14ac:dyDescent="0.3">
      <c r="B4" s="204" t="s">
        <v>6</v>
      </c>
      <c r="C4" s="204"/>
    </row>
    <row r="5" spans="2:3" x14ac:dyDescent="0.25">
      <c r="B5" s="1"/>
      <c r="C5" s="1"/>
    </row>
    <row r="6" spans="2:3" x14ac:dyDescent="0.25">
      <c r="B6" s="5" t="s">
        <v>9</v>
      </c>
      <c r="C6" s="3" t="s">
        <v>7</v>
      </c>
    </row>
    <row r="7" spans="2:3" x14ac:dyDescent="0.25">
      <c r="B7" s="43" t="s">
        <v>286</v>
      </c>
      <c r="C7" s="6"/>
    </row>
    <row r="8" spans="2:3" ht="20.100000000000001" customHeight="1" x14ac:dyDescent="0.25">
      <c r="B8" s="159" t="s">
        <v>30</v>
      </c>
      <c r="C8" s="7">
        <v>29</v>
      </c>
    </row>
    <row r="9" spans="2:3" ht="20.100000000000001" customHeight="1" x14ac:dyDescent="0.25">
      <c r="B9" s="160" t="s">
        <v>233</v>
      </c>
      <c r="C9" s="4">
        <v>30</v>
      </c>
    </row>
    <row r="10" spans="2:3" ht="20.100000000000001" customHeight="1" x14ac:dyDescent="0.25">
      <c r="B10" s="159" t="s">
        <v>32</v>
      </c>
      <c r="C10" s="7">
        <v>31</v>
      </c>
    </row>
    <row r="11" spans="2:3" ht="20.100000000000001" customHeight="1" x14ac:dyDescent="0.25">
      <c r="B11" s="160" t="s">
        <v>115</v>
      </c>
      <c r="C11" s="4">
        <v>32</v>
      </c>
    </row>
    <row r="12" spans="2:3" ht="20.100000000000001" customHeight="1" x14ac:dyDescent="0.25">
      <c r="B12" s="159" t="s">
        <v>116</v>
      </c>
      <c r="C12" s="7">
        <v>33</v>
      </c>
    </row>
    <row r="13" spans="2:3" ht="20.100000000000001" customHeight="1" x14ac:dyDescent="0.25">
      <c r="B13" s="160" t="s">
        <v>160</v>
      </c>
      <c r="C13" s="4">
        <v>34</v>
      </c>
    </row>
    <row r="14" spans="2:3" ht="20.100000000000001" customHeight="1" x14ac:dyDescent="0.25">
      <c r="B14" s="159" t="s">
        <v>186</v>
      </c>
      <c r="C14" s="7">
        <v>35</v>
      </c>
    </row>
    <row r="15" spans="2:3" ht="20.100000000000001" customHeight="1" x14ac:dyDescent="0.25">
      <c r="B15" s="160" t="s">
        <v>185</v>
      </c>
      <c r="C15" s="4">
        <v>36</v>
      </c>
    </row>
    <row r="16" spans="2:3" ht="20.100000000000001" customHeight="1" x14ac:dyDescent="0.25">
      <c r="B16" s="159" t="s">
        <v>189</v>
      </c>
      <c r="C16" s="7">
        <v>37</v>
      </c>
    </row>
    <row r="17" spans="2:3" ht="20.100000000000001" customHeight="1" x14ac:dyDescent="0.25">
      <c r="B17" s="160" t="s">
        <v>232</v>
      </c>
      <c r="C17" s="4">
        <v>38</v>
      </c>
    </row>
    <row r="18" spans="2:3" ht="20.100000000000001" customHeight="1" x14ac:dyDescent="0.25">
      <c r="B18" s="159" t="s">
        <v>249</v>
      </c>
      <c r="C18" s="7">
        <v>39</v>
      </c>
    </row>
    <row r="19" spans="2:3" ht="20.100000000000001" customHeight="1" x14ac:dyDescent="0.25">
      <c r="B19" s="160" t="s">
        <v>266</v>
      </c>
      <c r="C19" s="4">
        <v>40</v>
      </c>
    </row>
    <row r="20" spans="2:3" ht="20.100000000000001" customHeight="1" x14ac:dyDescent="0.25">
      <c r="B20" s="159" t="s">
        <v>269</v>
      </c>
      <c r="C20" s="7">
        <v>41</v>
      </c>
    </row>
    <row r="21" spans="2:3" ht="20.100000000000001" customHeight="1" x14ac:dyDescent="0.25">
      <c r="B21" s="160" t="s">
        <v>270</v>
      </c>
      <c r="C21" s="4">
        <v>42</v>
      </c>
    </row>
    <row r="22" spans="2:3" ht="20.100000000000001" customHeight="1" x14ac:dyDescent="0.25">
      <c r="B22" s="159" t="s">
        <v>275</v>
      </c>
      <c r="C22" s="7">
        <v>43</v>
      </c>
    </row>
    <row r="23" spans="2:3" ht="20.100000000000001" customHeight="1" x14ac:dyDescent="0.25">
      <c r="B23" s="160" t="s">
        <v>276</v>
      </c>
      <c r="C23" s="4">
        <v>44</v>
      </c>
    </row>
    <row r="24" spans="2:3" ht="20.100000000000001" customHeight="1" x14ac:dyDescent="0.25">
      <c r="B24" s="159" t="s">
        <v>327</v>
      </c>
      <c r="C24" s="7">
        <v>45</v>
      </c>
    </row>
    <row r="25" spans="2:3" ht="20.100000000000001" customHeight="1" x14ac:dyDescent="0.25">
      <c r="B25" s="160" t="s">
        <v>394</v>
      </c>
      <c r="C25" s="4">
        <v>46</v>
      </c>
    </row>
    <row r="26" spans="2:3" ht="20.100000000000001" customHeight="1" x14ac:dyDescent="0.25">
      <c r="B26" s="159" t="s">
        <v>395</v>
      </c>
      <c r="C26" s="7" t="s">
        <v>396</v>
      </c>
    </row>
    <row r="27" spans="2:3" ht="20.100000000000001" customHeight="1" x14ac:dyDescent="0.25">
      <c r="B27" s="160" t="s">
        <v>390</v>
      </c>
      <c r="C27" s="4">
        <v>47</v>
      </c>
    </row>
    <row r="28" spans="2:3" ht="20.100000000000001" customHeight="1" x14ac:dyDescent="0.25">
      <c r="B28" s="159" t="s">
        <v>391</v>
      </c>
      <c r="C28" s="7">
        <v>48</v>
      </c>
    </row>
    <row r="29" spans="2:3" ht="33" customHeight="1" x14ac:dyDescent="0.25">
      <c r="B29" s="160" t="s">
        <v>392</v>
      </c>
      <c r="C29" s="4">
        <v>49</v>
      </c>
    </row>
    <row r="30" spans="2:3" ht="20.100000000000001" customHeight="1" x14ac:dyDescent="0.25">
      <c r="B30" s="159" t="s">
        <v>393</v>
      </c>
      <c r="C30" s="7">
        <v>50</v>
      </c>
    </row>
  </sheetData>
  <mergeCells count="4">
    <mergeCell ref="B4:C4"/>
    <mergeCell ref="B3:C3"/>
    <mergeCell ref="B1:C1"/>
    <mergeCell ref="B2:C2"/>
  </mergeCells>
  <hyperlinks>
    <hyperlink ref="B24" location="'TABLE 45'!A1" display="Key Indicators of Tourism Industry" xr:uid="{B0FCA9E7-8275-4C13-8BB2-6967DEDC3B10}"/>
    <hyperlink ref="B23" location="'TABLE 44 '!A1" display="External Trade Indices - Import Unit Value" xr:uid="{D00F61CE-C12B-4D3B-8D99-078E79F8046F}"/>
    <hyperlink ref="B22" location="'TABLE 43'!A1" display="External Trade Indices - Export Unit Value" xr:uid="{037BDB3D-70C2-4D2F-AA6B-B1C15260D65E}"/>
    <hyperlink ref="B21" location="'TABLE 42'!A1" display="External Trade Indices - Import Volume" xr:uid="{F0891140-158B-4BEC-A3CA-8B435705940C}"/>
    <hyperlink ref="B20" location="'TABLE 41'!A1" display="External Trade Indices - Export Volume" xr:uid="{B9850E4E-8455-4DA8-A559-54E27FAAE126}"/>
    <hyperlink ref="B19" location="'TABLE 40'!A1" display="External Trade Indices - Import Value" xr:uid="{8C3544E1-8A52-4E7F-9D3F-3A295505BEA3}"/>
    <hyperlink ref="B18" location="'TABLE 39'!A1" display="External Trade Indices - Export Value" xr:uid="{582968AB-BFC4-4928-A393-3283C8A232C5}"/>
    <hyperlink ref="B17" location="'TABLE 38'!A1" display="Import Performance based on the Standard International Trade Classification (SITC )" xr:uid="{5C55CB61-FA6E-4C57-9379-7BE4E67CAD5E}"/>
    <hyperlink ref="B16" location="'TABLE 37'!A1" display="Composition of Imports" xr:uid="{C2E41749-B2AA-4B47-AF5D-D0C1ACC523D2}"/>
    <hyperlink ref="B15" location="'TABLE 36'!A1" display="Exports of Other Agricultural Products - Value" xr:uid="{1BAB2CEA-D523-4D56-BCC0-2652A7E09C22}"/>
    <hyperlink ref="B14" location="'TABLE 35'!A1" display="Exports of Other Agricultural Products - Volume" xr:uid="{8B93602A-0400-4515-818D-DBEDAA28FD43}"/>
    <hyperlink ref="B13" location="'TABLE 34'!A1" display="Major Coconut Products - Auctions and Exports" xr:uid="{41989C06-DD3F-4461-A1A1-3A2EC88E52B5}"/>
    <hyperlink ref="B12" location="'TABLE 33'!A1" display="Tea and Rubber - Auctions and Exports" xr:uid="{F3860B02-CBF2-4A11-8A7E-AFCDEE56FB1E}"/>
    <hyperlink ref="B11" location="'TABLE 32'!A1" display="Composition of Industrial and Mineral Exports" xr:uid="{88C9DCFA-A38B-4622-AC30-C0E27D0E1EF1}"/>
    <hyperlink ref="B10" location="'TABLE 31'!A1" display="Export Performance based on Standard International Trade Classification (SITC) " xr:uid="{D513BF87-CE58-4A58-9750-40DBB055E9C2}"/>
    <hyperlink ref="B9" location="'Table 30'!A1" display="Composition of Exports" xr:uid="{C5615B82-9010-4F60-8D9D-5751E352E7DA}"/>
    <hyperlink ref="B8" location="'Table 29'!A1" display="Exports, Imports and Trade Balances" xr:uid="{C59ED43A-7BF1-45ED-A47A-6209AA1FC214}"/>
    <hyperlink ref="B25" location="'Table 46'!A1" display="Balance of Payments - Standard Presentation under BPM6 Format" xr:uid="{EA7A5846-1132-414A-8A2F-0D907EF9D867}"/>
    <hyperlink ref="B26" location="'TABLE 46(Cont.)'!A1" display="Balance of Payments - Standard Presentation under BPM6 Format (Contd.)" xr:uid="{53BF33B5-F71F-4C11-8793-E29B8D9CA07B}"/>
    <hyperlink ref="B27" location="'TABLE 47'!A1" display="International Investment Position - Standard presentation under BPM6 format " xr:uid="{C689FC8F-1B35-4B30-850B-4BB063C824BD}"/>
    <hyperlink ref="B28" location="'TABLE 48'!A1" display="International  Reserves of Sri Lanka" xr:uid="{79E638FB-FCF0-4A69-BE21-7E862A396A16}"/>
    <hyperlink ref="B29" location="'TABLE 49'!A1" display="Exchange Rates of Major Currencies and Monthly Indices of Nominal Effective Exchange Rate and Real Effective Exchange Rate (REER)" xr:uid="{3BA79033-9073-40E8-9D6A-C403703CEF7B}"/>
    <hyperlink ref="B30" location="'TABLE 50'!A1" display="Interbank Market Transactions" xr:uid="{E140AA9A-5E05-4ECF-8349-523C772C9E3D}"/>
  </hyperlinks>
  <pageMargins left="0.7" right="0.7" top="0.75" bottom="0.75" header="0.3" footer="0.3"/>
  <pageSetup paperSize="9" scale="8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3BA4A-EE43-4F28-AC06-257F6C544852}">
  <dimension ref="A1:AI58"/>
  <sheetViews>
    <sheetView zoomScaleNormal="100" workbookViewId="0">
      <pane xSplit="1" ySplit="5" topLeftCell="I6" activePane="bottomRight" state="frozen"/>
      <selection pane="topRight" activeCell="B1" sqref="B1"/>
      <selection pane="bottomLeft" activeCell="A6" sqref="A6"/>
      <selection pane="bottomRight" activeCell="Q2" sqref="Q2"/>
    </sheetView>
  </sheetViews>
  <sheetFormatPr defaultRowHeight="15" x14ac:dyDescent="0.25"/>
  <cols>
    <col min="1" max="1" width="38.7109375" customWidth="1"/>
    <col min="2" max="17" width="15" customWidth="1"/>
  </cols>
  <sheetData>
    <row r="1" spans="1:35" s="16" customFormat="1" ht="15" customHeight="1" x14ac:dyDescent="0.25">
      <c r="A1" s="13" t="s">
        <v>29</v>
      </c>
      <c r="H1" s="15"/>
      <c r="I1" s="15"/>
      <c r="J1" s="15"/>
      <c r="K1" s="15"/>
      <c r="L1" s="15"/>
      <c r="N1" s="15"/>
      <c r="O1" s="15"/>
      <c r="Q1" s="15" t="s">
        <v>188</v>
      </c>
    </row>
    <row r="2" spans="1:35" s="16" customFormat="1" ht="15" customHeight="1" x14ac:dyDescent="0.25">
      <c r="A2" s="54" t="s">
        <v>286</v>
      </c>
      <c r="H2" s="17"/>
      <c r="I2" s="17"/>
      <c r="J2" s="17"/>
      <c r="K2" s="17"/>
      <c r="L2" s="17"/>
      <c r="N2" s="17"/>
      <c r="O2" s="17"/>
      <c r="Q2" s="17" t="s">
        <v>10</v>
      </c>
    </row>
    <row r="3" spans="1:35" s="16" customFormat="1" ht="15" customHeight="1" x14ac:dyDescent="0.25">
      <c r="A3" s="54"/>
      <c r="R3" s="17"/>
    </row>
    <row r="4" spans="1:35" s="16" customFormat="1" ht="15" customHeight="1" x14ac:dyDescent="0.3">
      <c r="A4" s="264" t="s">
        <v>379</v>
      </c>
      <c r="B4" s="264"/>
      <c r="C4" s="264"/>
      <c r="D4" s="264"/>
      <c r="E4" s="264"/>
      <c r="F4" s="264"/>
      <c r="G4" s="264"/>
      <c r="H4" s="264"/>
      <c r="I4" s="264"/>
      <c r="J4" s="264"/>
      <c r="K4" s="264"/>
      <c r="L4" s="264"/>
      <c r="M4" s="264"/>
      <c r="N4" s="264"/>
      <c r="O4" s="264"/>
      <c r="P4" s="264"/>
      <c r="Q4" s="89"/>
      <c r="R4" s="89"/>
      <c r="AI4" s="17"/>
    </row>
    <row r="5" spans="1:35" s="16" customFormat="1" ht="15" customHeight="1" x14ac:dyDescent="0.3">
      <c r="A5" s="44" t="s">
        <v>60</v>
      </c>
      <c r="B5" s="51">
        <v>45682</v>
      </c>
      <c r="C5" s="51">
        <v>45713</v>
      </c>
      <c r="D5" s="51">
        <v>45741</v>
      </c>
      <c r="E5" s="51">
        <v>45772</v>
      </c>
      <c r="F5" s="51">
        <v>45802</v>
      </c>
      <c r="G5" s="51">
        <v>45833</v>
      </c>
      <c r="H5" s="51">
        <v>45863</v>
      </c>
      <c r="I5" s="51">
        <v>45894</v>
      </c>
      <c r="J5" s="51">
        <v>45925</v>
      </c>
      <c r="K5" s="51">
        <v>45955</v>
      </c>
      <c r="L5" s="51">
        <v>45986</v>
      </c>
      <c r="M5" s="51">
        <v>46016</v>
      </c>
      <c r="N5" s="51">
        <v>46048</v>
      </c>
      <c r="O5" s="51">
        <v>46079</v>
      </c>
      <c r="P5" s="51">
        <v>46107</v>
      </c>
      <c r="Q5" s="51">
        <v>46138</v>
      </c>
      <c r="R5" s="88"/>
      <c r="AI5" s="17"/>
    </row>
    <row r="6" spans="1:35" x14ac:dyDescent="0.25">
      <c r="A6" s="105"/>
      <c r="B6" s="111"/>
      <c r="C6" s="111"/>
      <c r="D6" s="111"/>
      <c r="E6" s="111"/>
      <c r="F6" s="111"/>
      <c r="G6" s="111"/>
      <c r="H6" s="111"/>
      <c r="I6" s="111"/>
      <c r="J6" s="111"/>
      <c r="K6" s="111"/>
      <c r="L6" s="111"/>
      <c r="M6" s="111"/>
      <c r="N6" s="111"/>
      <c r="O6" s="111"/>
      <c r="P6" s="111"/>
      <c r="Q6" s="111"/>
    </row>
    <row r="7" spans="1:35" x14ac:dyDescent="0.25">
      <c r="A7" s="106" t="s">
        <v>190</v>
      </c>
      <c r="B7" s="107">
        <v>380.22161215694803</v>
      </c>
      <c r="C7" s="107">
        <v>351.04886163366052</v>
      </c>
      <c r="D7" s="107">
        <v>366.11994588201105</v>
      </c>
      <c r="E7" s="107">
        <v>410.94016010051882</v>
      </c>
      <c r="F7" s="107">
        <v>388.23614167931919</v>
      </c>
      <c r="G7" s="107">
        <v>418.90010618156498</v>
      </c>
      <c r="H7" s="107">
        <v>480.11170135197835</v>
      </c>
      <c r="I7" s="107">
        <v>499.090501311656</v>
      </c>
      <c r="J7" s="107">
        <v>521.76471110258103</v>
      </c>
      <c r="K7" s="107">
        <v>569.86810266865257</v>
      </c>
      <c r="L7" s="107">
        <v>521.73197497935348</v>
      </c>
      <c r="M7" s="107">
        <v>610.23181395008862</v>
      </c>
      <c r="N7" s="107">
        <v>474.95977849800795</v>
      </c>
      <c r="O7" s="107">
        <v>476.33859113121821</v>
      </c>
      <c r="P7" s="107">
        <v>498.29812943934019</v>
      </c>
      <c r="Q7" s="107">
        <v>553.06505345052881</v>
      </c>
    </row>
    <row r="8" spans="1:35" x14ac:dyDescent="0.25">
      <c r="A8" s="105"/>
      <c r="B8" s="108"/>
      <c r="C8" s="108"/>
      <c r="D8" s="108"/>
      <c r="E8" s="108"/>
      <c r="F8" s="108"/>
      <c r="G8" s="108"/>
      <c r="H8" s="108"/>
      <c r="I8" s="108"/>
      <c r="J8" s="108"/>
      <c r="K8" s="108"/>
      <c r="L8" s="108"/>
      <c r="M8" s="108"/>
      <c r="N8" s="108"/>
      <c r="O8" s="108"/>
      <c r="P8" s="108"/>
      <c r="Q8" s="108"/>
    </row>
    <row r="9" spans="1:35" x14ac:dyDescent="0.25">
      <c r="A9" s="106" t="s">
        <v>191</v>
      </c>
      <c r="B9" s="107">
        <v>241.3831309988939</v>
      </c>
      <c r="C9" s="107">
        <v>199.23598813558064</v>
      </c>
      <c r="D9" s="107">
        <v>193.78561746009754</v>
      </c>
      <c r="E9" s="107">
        <v>159.7222746768177</v>
      </c>
      <c r="F9" s="107">
        <v>159.90653454979758</v>
      </c>
      <c r="G9" s="107">
        <v>140.51055911376204</v>
      </c>
      <c r="H9" s="107">
        <v>171.11762255260911</v>
      </c>
      <c r="I9" s="107">
        <v>153.98194826943995</v>
      </c>
      <c r="J9" s="107">
        <v>145.48968956850783</v>
      </c>
      <c r="K9" s="107">
        <v>202.29386990421617</v>
      </c>
      <c r="L9" s="107">
        <v>157.11571649142968</v>
      </c>
      <c r="M9" s="107">
        <v>191.39774491924183</v>
      </c>
      <c r="N9" s="107">
        <v>160.81974781215558</v>
      </c>
      <c r="O9" s="107">
        <v>162.06730227001347</v>
      </c>
      <c r="P9" s="107">
        <v>187.41283830197469</v>
      </c>
      <c r="Q9" s="107">
        <v>235.74012333959547</v>
      </c>
    </row>
    <row r="10" spans="1:35" x14ac:dyDescent="0.25">
      <c r="A10" s="105" t="s">
        <v>192</v>
      </c>
      <c r="B10" s="108">
        <v>13.769885832785242</v>
      </c>
      <c r="C10" s="108">
        <v>13.978928472517499</v>
      </c>
      <c r="D10" s="108">
        <v>19.717215603445656</v>
      </c>
      <c r="E10" s="108">
        <v>15.425693177128554</v>
      </c>
      <c r="F10" s="108">
        <v>12.807391479762817</v>
      </c>
      <c r="G10" s="108">
        <v>10.350282116055476</v>
      </c>
      <c r="H10" s="108">
        <v>16.515584429816915</v>
      </c>
      <c r="I10" s="108">
        <v>5.2414490440947947</v>
      </c>
      <c r="J10" s="108">
        <v>4.5113828829350533</v>
      </c>
      <c r="K10" s="108">
        <v>9.7194017098246466</v>
      </c>
      <c r="L10" s="108">
        <v>6.039235654339687</v>
      </c>
      <c r="M10" s="108">
        <v>5.3764936647985175</v>
      </c>
      <c r="N10" s="108">
        <v>9.3115496355449512</v>
      </c>
      <c r="O10" s="108">
        <v>8.9408639698633134</v>
      </c>
      <c r="P10" s="108">
        <v>15.923102362871173</v>
      </c>
      <c r="Q10" s="108">
        <v>18.072415678231895</v>
      </c>
    </row>
    <row r="11" spans="1:35" x14ac:dyDescent="0.25">
      <c r="A11" s="105" t="s">
        <v>193</v>
      </c>
      <c r="B11" s="108">
        <v>16.470406641780865</v>
      </c>
      <c r="C11" s="108">
        <v>16.368097306162934</v>
      </c>
      <c r="D11" s="108">
        <v>12.668569749483794</v>
      </c>
      <c r="E11" s="108">
        <v>12.062290879479264</v>
      </c>
      <c r="F11" s="108">
        <v>9.7676041951250134</v>
      </c>
      <c r="G11" s="108">
        <v>12.546916226466433</v>
      </c>
      <c r="H11" s="108">
        <v>13.118783279318627</v>
      </c>
      <c r="I11" s="108">
        <v>11.640343468470336</v>
      </c>
      <c r="J11" s="108">
        <v>6.3436559677427358</v>
      </c>
      <c r="K11" s="108">
        <v>6.1848930015290442</v>
      </c>
      <c r="L11" s="108">
        <v>7.7415611577720691</v>
      </c>
      <c r="M11" s="108">
        <v>15.709814667421732</v>
      </c>
      <c r="N11" s="108">
        <v>11.561772865271282</v>
      </c>
      <c r="O11" s="108">
        <v>10.578122731230998</v>
      </c>
      <c r="P11" s="108">
        <v>13.543702899110617</v>
      </c>
      <c r="Q11" s="108">
        <v>9.2796048083197586</v>
      </c>
    </row>
    <row r="12" spans="1:35" x14ac:dyDescent="0.25">
      <c r="A12" s="105" t="s">
        <v>194</v>
      </c>
      <c r="B12" s="108">
        <v>43.312994834890723</v>
      </c>
      <c r="C12" s="108">
        <v>42.922997081569818</v>
      </c>
      <c r="D12" s="108">
        <v>43.415931242375187</v>
      </c>
      <c r="E12" s="108">
        <v>29.839933856159757</v>
      </c>
      <c r="F12" s="108">
        <v>20.244978618248567</v>
      </c>
      <c r="G12" s="108">
        <v>21.375957678090199</v>
      </c>
      <c r="H12" s="108">
        <v>26.884422617167743</v>
      </c>
      <c r="I12" s="108">
        <v>17.846422162525943</v>
      </c>
      <c r="J12" s="108">
        <v>27.286650529210394</v>
      </c>
      <c r="K12" s="108">
        <v>42.831653525461803</v>
      </c>
      <c r="L12" s="108">
        <v>21.695963100666891</v>
      </c>
      <c r="M12" s="108">
        <v>29.286012175255635</v>
      </c>
      <c r="N12" s="108">
        <v>17.244260841371066</v>
      </c>
      <c r="O12" s="108">
        <v>14.914064890591595</v>
      </c>
      <c r="P12" s="108">
        <v>28.218119048619023</v>
      </c>
      <c r="Q12" s="108">
        <v>44.877760974430522</v>
      </c>
    </row>
    <row r="13" spans="1:35" x14ac:dyDescent="0.25">
      <c r="A13" s="105" t="s">
        <v>195</v>
      </c>
      <c r="B13" s="108">
        <v>51.606917117181602</v>
      </c>
      <c r="C13" s="108">
        <v>2.8987869983969188</v>
      </c>
      <c r="D13" s="108">
        <v>1.2804115285442483</v>
      </c>
      <c r="E13" s="108">
        <v>1.2271119903045309</v>
      </c>
      <c r="F13" s="108">
        <v>1.0497546275360354</v>
      </c>
      <c r="G13" s="108">
        <v>1.056995572544843</v>
      </c>
      <c r="H13" s="108">
        <v>1.3842516431064251</v>
      </c>
      <c r="I13" s="108">
        <v>1.1716979187638956</v>
      </c>
      <c r="J13" s="108">
        <v>1.4130873854839003</v>
      </c>
      <c r="K13" s="108">
        <v>23.087299156633858</v>
      </c>
      <c r="L13" s="108">
        <v>14.843105834233729</v>
      </c>
      <c r="M13" s="108">
        <v>2.4871642643989715</v>
      </c>
      <c r="N13" s="108">
        <v>2.7020630697284487</v>
      </c>
      <c r="O13" s="108">
        <v>1.0573779834615427</v>
      </c>
      <c r="P13" s="108">
        <v>1.0866818589420315</v>
      </c>
      <c r="Q13" s="108">
        <v>36.480427411467474</v>
      </c>
    </row>
    <row r="14" spans="1:35" x14ac:dyDescent="0.25">
      <c r="A14" s="105" t="s">
        <v>196</v>
      </c>
      <c r="B14" s="108">
        <v>0.82735768770030071</v>
      </c>
      <c r="C14" s="108">
        <v>1.1200257207296143</v>
      </c>
      <c r="D14" s="108">
        <v>0.8862788424819793</v>
      </c>
      <c r="E14" s="108">
        <v>0.95510937885219371</v>
      </c>
      <c r="F14" s="108">
        <v>1.191472602167833</v>
      </c>
      <c r="G14" s="108">
        <v>1.4121057354183741</v>
      </c>
      <c r="H14" s="108">
        <v>1.7175639085459466</v>
      </c>
      <c r="I14" s="108">
        <v>1.7304883294288251</v>
      </c>
      <c r="J14" s="108">
        <v>3.1592316894195975</v>
      </c>
      <c r="K14" s="108">
        <v>2.5740199781942099</v>
      </c>
      <c r="L14" s="108">
        <v>4.237510300410972</v>
      </c>
      <c r="M14" s="108">
        <v>2.5051677178171214</v>
      </c>
      <c r="N14" s="108">
        <v>1.0923963254482987</v>
      </c>
      <c r="O14" s="108">
        <v>0.73247735513980627</v>
      </c>
      <c r="P14" s="108">
        <v>0.46440616274607432</v>
      </c>
      <c r="Q14" s="108">
        <v>0.6405900398639286</v>
      </c>
    </row>
    <row r="15" spans="1:35" x14ac:dyDescent="0.25">
      <c r="A15" s="105" t="s">
        <v>197</v>
      </c>
      <c r="B15" s="108">
        <v>17.74290571666651</v>
      </c>
      <c r="C15" s="108">
        <v>41.660357492535461</v>
      </c>
      <c r="D15" s="108">
        <v>32.115755739095462</v>
      </c>
      <c r="E15" s="108">
        <v>29.540148212314158</v>
      </c>
      <c r="F15" s="108">
        <v>40.738616895925446</v>
      </c>
      <c r="G15" s="108">
        <v>20.720994353477508</v>
      </c>
      <c r="H15" s="108">
        <v>30.833293890808932</v>
      </c>
      <c r="I15" s="108">
        <v>36.385046222234898</v>
      </c>
      <c r="J15" s="108">
        <v>21.884319922037225</v>
      </c>
      <c r="K15" s="108">
        <v>27.45307283496712</v>
      </c>
      <c r="L15" s="108">
        <v>26.812026450397752</v>
      </c>
      <c r="M15" s="108">
        <v>31.62229680444009</v>
      </c>
      <c r="N15" s="108">
        <v>31.36911405339054</v>
      </c>
      <c r="O15" s="108">
        <v>40.157376467447065</v>
      </c>
      <c r="P15" s="108">
        <v>27.747211231084062</v>
      </c>
      <c r="Q15" s="108">
        <v>45.10091396943924</v>
      </c>
    </row>
    <row r="16" spans="1:35" x14ac:dyDescent="0.25">
      <c r="A16" s="105" t="s">
        <v>198</v>
      </c>
      <c r="B16" s="108">
        <v>10.247998531971819</v>
      </c>
      <c r="C16" s="108">
        <v>6.0650358857075082</v>
      </c>
      <c r="D16" s="108">
        <v>6.3693385229918658</v>
      </c>
      <c r="E16" s="108">
        <v>4.9551452544993628</v>
      </c>
      <c r="F16" s="108">
        <v>5.539733289202716</v>
      </c>
      <c r="G16" s="108">
        <v>7.6035248384969183</v>
      </c>
      <c r="H16" s="108">
        <v>9.5297137270412602</v>
      </c>
      <c r="I16" s="108">
        <v>8.8453550592707995</v>
      </c>
      <c r="J16" s="108">
        <v>7.8220619731266687</v>
      </c>
      <c r="K16" s="108">
        <v>10.542944444719353</v>
      </c>
      <c r="L16" s="108">
        <v>8.8200089800128598</v>
      </c>
      <c r="M16" s="108">
        <v>11.702941019900006</v>
      </c>
      <c r="N16" s="108">
        <v>11.377819938440989</v>
      </c>
      <c r="O16" s="108">
        <v>10.133380977347706</v>
      </c>
      <c r="P16" s="108">
        <v>6.1773481058333912</v>
      </c>
      <c r="Q16" s="108">
        <v>5.8390780640951299</v>
      </c>
    </row>
    <row r="17" spans="1:17" x14ac:dyDescent="0.25">
      <c r="A17" s="105" t="s">
        <v>199</v>
      </c>
      <c r="B17" s="108">
        <v>39.192193621707908</v>
      </c>
      <c r="C17" s="108">
        <v>38.341826067356365</v>
      </c>
      <c r="D17" s="108">
        <v>28.873585771301311</v>
      </c>
      <c r="E17" s="108">
        <v>30.583766360099045</v>
      </c>
      <c r="F17" s="108">
        <v>24.450919098025413</v>
      </c>
      <c r="G17" s="108">
        <v>21.536817417324492</v>
      </c>
      <c r="H17" s="108">
        <v>22.828229586243701</v>
      </c>
      <c r="I17" s="108">
        <v>31.235863568533652</v>
      </c>
      <c r="J17" s="108">
        <v>35.522857593842396</v>
      </c>
      <c r="K17" s="108">
        <v>31.529388256872867</v>
      </c>
      <c r="L17" s="108">
        <v>21.645355688157547</v>
      </c>
      <c r="M17" s="108">
        <v>31.241380523148539</v>
      </c>
      <c r="N17" s="108">
        <v>20.419688494355476</v>
      </c>
      <c r="O17" s="108">
        <v>25.185528979150114</v>
      </c>
      <c r="P17" s="108">
        <v>40.880106116162551</v>
      </c>
      <c r="Q17" s="108">
        <v>24.660633885445321</v>
      </c>
    </row>
    <row r="18" spans="1:17" x14ac:dyDescent="0.25">
      <c r="A18" s="105" t="s">
        <v>200</v>
      </c>
      <c r="B18" s="108">
        <v>10.283639052115676</v>
      </c>
      <c r="C18" s="108">
        <v>6.3967681266454495</v>
      </c>
      <c r="D18" s="108">
        <v>12.260059342568153</v>
      </c>
      <c r="E18" s="108">
        <v>4.5824920778799667</v>
      </c>
      <c r="F18" s="108">
        <v>8.2618417429767863</v>
      </c>
      <c r="G18" s="108">
        <v>5.22959774112425</v>
      </c>
      <c r="H18" s="108">
        <v>10.930824151829642</v>
      </c>
      <c r="I18" s="108">
        <v>7.8254131973593744</v>
      </c>
      <c r="J18" s="108">
        <v>6.5898978144942593</v>
      </c>
      <c r="K18" s="108">
        <v>7.4262291818210313</v>
      </c>
      <c r="L18" s="108">
        <v>9.7742365226360963</v>
      </c>
      <c r="M18" s="108">
        <v>11.723912475675199</v>
      </c>
      <c r="N18" s="108">
        <v>10.425271575606459</v>
      </c>
      <c r="O18" s="108">
        <v>15.376610805789173</v>
      </c>
      <c r="P18" s="108">
        <v>14.24286739022336</v>
      </c>
      <c r="Q18" s="108">
        <v>10.883841710341079</v>
      </c>
    </row>
    <row r="19" spans="1:17" x14ac:dyDescent="0.25">
      <c r="A19" s="105" t="s">
        <v>201</v>
      </c>
      <c r="B19" s="108">
        <v>37.928831962093227</v>
      </c>
      <c r="C19" s="108">
        <v>29.483164983959085</v>
      </c>
      <c r="D19" s="108">
        <v>36.198471117809873</v>
      </c>
      <c r="E19" s="108">
        <v>30.550583490100877</v>
      </c>
      <c r="F19" s="108">
        <v>35.854222000826965</v>
      </c>
      <c r="G19" s="108">
        <v>38.677367434763539</v>
      </c>
      <c r="H19" s="108">
        <v>37.374955318729917</v>
      </c>
      <c r="I19" s="108">
        <v>32.059869298757434</v>
      </c>
      <c r="J19" s="108">
        <v>30.956543810215607</v>
      </c>
      <c r="K19" s="108">
        <v>40.944967814192211</v>
      </c>
      <c r="L19" s="108">
        <v>35.50671280280207</v>
      </c>
      <c r="M19" s="108">
        <v>49.742561606386005</v>
      </c>
      <c r="N19" s="108">
        <v>45.315811012998047</v>
      </c>
      <c r="O19" s="108">
        <v>34.991498109992165</v>
      </c>
      <c r="P19" s="108">
        <v>39.129293126382386</v>
      </c>
      <c r="Q19" s="108">
        <v>39.904856797961138</v>
      </c>
    </row>
    <row r="20" spans="1:17" x14ac:dyDescent="0.25">
      <c r="A20" s="105"/>
      <c r="B20" s="108"/>
      <c r="C20" s="108"/>
      <c r="D20" s="108"/>
      <c r="E20" s="108"/>
      <c r="F20" s="108"/>
      <c r="G20" s="108"/>
      <c r="H20" s="108"/>
      <c r="I20" s="108"/>
      <c r="J20" s="108"/>
      <c r="K20" s="108"/>
      <c r="L20" s="108"/>
      <c r="M20" s="108"/>
      <c r="N20" s="108"/>
      <c r="O20" s="108"/>
      <c r="P20" s="108"/>
      <c r="Q20" s="108"/>
    </row>
    <row r="21" spans="1:17" x14ac:dyDescent="0.25">
      <c r="A21" s="106" t="s">
        <v>202</v>
      </c>
      <c r="B21" s="107">
        <v>138.83848115805409</v>
      </c>
      <c r="C21" s="107">
        <v>151.81287349807985</v>
      </c>
      <c r="D21" s="107">
        <v>172.33432842191351</v>
      </c>
      <c r="E21" s="107">
        <v>251.21788542370112</v>
      </c>
      <c r="F21" s="107">
        <v>228.32960712952158</v>
      </c>
      <c r="G21" s="107">
        <v>278.38954706780294</v>
      </c>
      <c r="H21" s="107">
        <v>308.99407879936922</v>
      </c>
      <c r="I21" s="107">
        <v>345.10855304221604</v>
      </c>
      <c r="J21" s="107">
        <v>376.27502153407323</v>
      </c>
      <c r="K21" s="107">
        <v>367.57423276443643</v>
      </c>
      <c r="L21" s="107">
        <v>364.61625848792374</v>
      </c>
      <c r="M21" s="107">
        <v>418.83406903084676</v>
      </c>
      <c r="N21" s="107">
        <v>314.14003068585237</v>
      </c>
      <c r="O21" s="107">
        <v>314.27128886120477</v>
      </c>
      <c r="P21" s="107">
        <v>310.88529113736547</v>
      </c>
      <c r="Q21" s="107">
        <v>317.32493011093328</v>
      </c>
    </row>
    <row r="22" spans="1:17" x14ac:dyDescent="0.25">
      <c r="A22" s="105" t="s">
        <v>203</v>
      </c>
      <c r="B22" s="108">
        <v>2.9754032215588109</v>
      </c>
      <c r="C22" s="108">
        <v>3.5338544167620722</v>
      </c>
      <c r="D22" s="108">
        <v>28.179572327979209</v>
      </c>
      <c r="E22" s="108">
        <v>107.07580259617755</v>
      </c>
      <c r="F22" s="108">
        <v>91.864694419970732</v>
      </c>
      <c r="G22" s="108">
        <v>126.84127184467962</v>
      </c>
      <c r="H22" s="108">
        <v>145.65931328097577</v>
      </c>
      <c r="I22" s="108">
        <v>198.91846874066093</v>
      </c>
      <c r="J22" s="108">
        <v>227.51245470564584</v>
      </c>
      <c r="K22" s="108">
        <v>205.59471012649666</v>
      </c>
      <c r="L22" s="108">
        <v>227.63724363874951</v>
      </c>
      <c r="M22" s="108">
        <v>240.92264581700763</v>
      </c>
      <c r="N22" s="108">
        <v>163.80293821396197</v>
      </c>
      <c r="O22" s="108">
        <v>148.42990235121241</v>
      </c>
      <c r="P22" s="108">
        <v>147.51395955088742</v>
      </c>
      <c r="Q22" s="108">
        <v>161.32212373776076</v>
      </c>
    </row>
    <row r="23" spans="1:17" x14ac:dyDescent="0.25">
      <c r="A23" s="105" t="s">
        <v>204</v>
      </c>
      <c r="B23" s="108">
        <v>9.7090385597117432</v>
      </c>
      <c r="C23" s="108">
        <v>12.156253991699556</v>
      </c>
      <c r="D23" s="108">
        <v>8.8953144040904473</v>
      </c>
      <c r="E23" s="108">
        <v>8.2076260906732692</v>
      </c>
      <c r="F23" s="108">
        <v>5.3146159767973593</v>
      </c>
      <c r="G23" s="108">
        <v>6.620028609402957</v>
      </c>
      <c r="H23" s="108">
        <v>7.2681689197424166</v>
      </c>
      <c r="I23" s="108">
        <v>5.3187594609556363</v>
      </c>
      <c r="J23" s="108">
        <v>5.2063251074221819</v>
      </c>
      <c r="K23" s="108">
        <v>7.8228027202805395</v>
      </c>
      <c r="L23" s="108">
        <v>5.2256263354953694</v>
      </c>
      <c r="M23" s="108">
        <v>8.7289409927332038</v>
      </c>
      <c r="N23" s="108">
        <v>9.6683058354467128</v>
      </c>
      <c r="O23" s="108">
        <v>12.383816597158427</v>
      </c>
      <c r="P23" s="108">
        <v>10.493353872186754</v>
      </c>
      <c r="Q23" s="108">
        <v>17.521495483510112</v>
      </c>
    </row>
    <row r="24" spans="1:17" x14ac:dyDescent="0.25">
      <c r="A24" s="105" t="s">
        <v>205</v>
      </c>
      <c r="B24" s="108">
        <v>14.660416514169105</v>
      </c>
      <c r="C24" s="108">
        <v>14.119361257317133</v>
      </c>
      <c r="D24" s="108">
        <v>9.051471614584214</v>
      </c>
      <c r="E24" s="108">
        <v>12.708402190457814</v>
      </c>
      <c r="F24" s="108">
        <v>10.382558001591105</v>
      </c>
      <c r="G24" s="108">
        <v>14.185191242855154</v>
      </c>
      <c r="H24" s="108">
        <v>13.947230199616966</v>
      </c>
      <c r="I24" s="108">
        <v>12.343180022096984</v>
      </c>
      <c r="J24" s="108">
        <v>12.947714330623718</v>
      </c>
      <c r="K24" s="108">
        <v>11.59564753134376</v>
      </c>
      <c r="L24" s="108">
        <v>11.128612465602732</v>
      </c>
      <c r="M24" s="108">
        <v>16.302773578602132</v>
      </c>
      <c r="N24" s="108">
        <v>13.095734217631868</v>
      </c>
      <c r="O24" s="108">
        <v>12.994052106290392</v>
      </c>
      <c r="P24" s="108">
        <v>13.947536959837183</v>
      </c>
      <c r="Q24" s="108">
        <v>15.050974575882877</v>
      </c>
    </row>
    <row r="25" spans="1:17" x14ac:dyDescent="0.25">
      <c r="A25" s="105" t="s">
        <v>206</v>
      </c>
      <c r="B25" s="108">
        <v>8.3736934549172197</v>
      </c>
      <c r="C25" s="108">
        <v>6.1421166772348297</v>
      </c>
      <c r="D25" s="108">
        <v>5.7440928123172998</v>
      </c>
      <c r="E25" s="108">
        <v>8.2916702944281866</v>
      </c>
      <c r="F25" s="108">
        <v>6.3288863320443713</v>
      </c>
      <c r="G25" s="108">
        <v>7.0573417663272</v>
      </c>
      <c r="H25" s="108">
        <v>8.4961508087925921</v>
      </c>
      <c r="I25" s="108">
        <v>7.8243650566471556</v>
      </c>
      <c r="J25" s="108">
        <v>8.5506417104159382</v>
      </c>
      <c r="K25" s="108">
        <v>7.1764077847659671</v>
      </c>
      <c r="L25" s="108">
        <v>5.6663134256251899</v>
      </c>
      <c r="M25" s="108">
        <v>7.8936289933179369</v>
      </c>
      <c r="N25" s="108">
        <v>5.6633767549016794</v>
      </c>
      <c r="O25" s="108">
        <v>5.6382394578809798</v>
      </c>
      <c r="P25" s="108">
        <v>6.4335965681445044</v>
      </c>
      <c r="Q25" s="108">
        <v>8.4230378114813806</v>
      </c>
    </row>
    <row r="26" spans="1:17" x14ac:dyDescent="0.25">
      <c r="A26" s="105" t="s">
        <v>207</v>
      </c>
      <c r="B26" s="108">
        <v>45.363153870151763</v>
      </c>
      <c r="C26" s="108">
        <v>46.186036874914507</v>
      </c>
      <c r="D26" s="108">
        <v>53.120353243733717</v>
      </c>
      <c r="E26" s="108">
        <v>59.61399821191219</v>
      </c>
      <c r="F26" s="108">
        <v>50.375762061385203</v>
      </c>
      <c r="G26" s="108">
        <v>55.408796391080536</v>
      </c>
      <c r="H26" s="108">
        <v>57.117809918713924</v>
      </c>
      <c r="I26" s="108">
        <v>52.782701401145175</v>
      </c>
      <c r="J26" s="108">
        <v>55.79889049969308</v>
      </c>
      <c r="K26" s="108">
        <v>67.793409719576218</v>
      </c>
      <c r="L26" s="108">
        <v>53.278015978612487</v>
      </c>
      <c r="M26" s="108">
        <v>70.225458858625572</v>
      </c>
      <c r="N26" s="108">
        <v>61.854523072680131</v>
      </c>
      <c r="O26" s="108">
        <v>62.534926975942241</v>
      </c>
      <c r="P26" s="108">
        <v>56.745747726368485</v>
      </c>
      <c r="Q26" s="108">
        <v>51.784267946272962</v>
      </c>
    </row>
    <row r="27" spans="1:17" x14ac:dyDescent="0.25">
      <c r="A27" s="105" t="s">
        <v>201</v>
      </c>
      <c r="B27" s="108">
        <v>57.756775537545451</v>
      </c>
      <c r="C27" s="108">
        <v>69.675250280151758</v>
      </c>
      <c r="D27" s="108">
        <v>67.343524019208616</v>
      </c>
      <c r="E27" s="108">
        <v>55.320386040052114</v>
      </c>
      <c r="F27" s="108">
        <v>64.063090337732802</v>
      </c>
      <c r="G27" s="108">
        <v>68.276917213457466</v>
      </c>
      <c r="H27" s="108">
        <v>76.505405671527569</v>
      </c>
      <c r="I27" s="108">
        <v>67.921078360710112</v>
      </c>
      <c r="J27" s="108">
        <v>66.258995180272507</v>
      </c>
      <c r="K27" s="108">
        <v>67.591254881973271</v>
      </c>
      <c r="L27" s="108">
        <v>61.680446643838422</v>
      </c>
      <c r="M27" s="108">
        <v>74.760620790560267</v>
      </c>
      <c r="N27" s="108">
        <v>60.055152591230005</v>
      </c>
      <c r="O27" s="108">
        <v>72.290351372720338</v>
      </c>
      <c r="P27" s="108">
        <v>75.751096459941124</v>
      </c>
      <c r="Q27" s="108">
        <v>63.223030556025194</v>
      </c>
    </row>
    <row r="28" spans="1:17" x14ac:dyDescent="0.25">
      <c r="A28" s="105" t="s">
        <v>117</v>
      </c>
      <c r="B28" s="108"/>
      <c r="C28" s="108"/>
      <c r="D28" s="108"/>
      <c r="E28" s="108"/>
      <c r="F28" s="108"/>
      <c r="G28" s="108"/>
      <c r="H28" s="108"/>
      <c r="I28" s="108"/>
      <c r="J28" s="108"/>
      <c r="K28" s="108"/>
      <c r="L28" s="108"/>
      <c r="M28" s="108"/>
      <c r="N28" s="108"/>
      <c r="O28" s="108"/>
      <c r="P28" s="108"/>
      <c r="Q28" s="108"/>
    </row>
    <row r="29" spans="1:17" x14ac:dyDescent="0.25">
      <c r="A29" s="106" t="s">
        <v>208</v>
      </c>
      <c r="B29" s="107">
        <v>1061.439465370692</v>
      </c>
      <c r="C29" s="107">
        <v>839.95384384329759</v>
      </c>
      <c r="D29" s="107">
        <v>955.67958462156196</v>
      </c>
      <c r="E29" s="107">
        <v>930.12016826480647</v>
      </c>
      <c r="F29" s="107">
        <v>829.88734406023173</v>
      </c>
      <c r="G29" s="107">
        <v>958.54649654525258</v>
      </c>
      <c r="H29" s="107">
        <v>992.81502781330482</v>
      </c>
      <c r="I29" s="107">
        <v>868.95469514943386</v>
      </c>
      <c r="J29" s="107">
        <v>1179.7907918412393</v>
      </c>
      <c r="K29" s="107">
        <v>1161.4029449433642</v>
      </c>
      <c r="L29" s="107">
        <v>952.33153327718389</v>
      </c>
      <c r="M29" s="107">
        <v>1127.9309171057018</v>
      </c>
      <c r="N29" s="107">
        <v>934.93899481614437</v>
      </c>
      <c r="O29" s="107">
        <v>993.354858585741</v>
      </c>
      <c r="P29" s="107">
        <v>1261.2229115753332</v>
      </c>
      <c r="Q29" s="107">
        <v>1510.2483979076062</v>
      </c>
    </row>
    <row r="30" spans="1:17" x14ac:dyDescent="0.25">
      <c r="A30" s="105" t="s">
        <v>209</v>
      </c>
      <c r="B30" s="108">
        <v>12.577210348045579</v>
      </c>
      <c r="C30" s="108">
        <v>15.932108483258615</v>
      </c>
      <c r="D30" s="108">
        <v>22.861213352753719</v>
      </c>
      <c r="E30" s="108">
        <v>12.664513869907065</v>
      </c>
      <c r="F30" s="108">
        <v>6.1489015350641347</v>
      </c>
      <c r="G30" s="108">
        <v>23.900265750676724</v>
      </c>
      <c r="H30" s="108">
        <v>27.623898463644434</v>
      </c>
      <c r="I30" s="108">
        <v>43.109769049693668</v>
      </c>
      <c r="J30" s="108">
        <v>37.416743316826356</v>
      </c>
      <c r="K30" s="108">
        <v>39.738314508107891</v>
      </c>
      <c r="L30" s="108">
        <v>48.137046682356939</v>
      </c>
      <c r="M30" s="108">
        <v>19.059822908018702</v>
      </c>
      <c r="N30" s="108">
        <v>7.3471177064989615</v>
      </c>
      <c r="O30" s="108">
        <v>17.000630710509764</v>
      </c>
      <c r="P30" s="108">
        <v>3.7750599478251781</v>
      </c>
      <c r="Q30" s="108">
        <v>39.717194818163286</v>
      </c>
    </row>
    <row r="31" spans="1:17" x14ac:dyDescent="0.25">
      <c r="A31" s="105" t="s">
        <v>210</v>
      </c>
      <c r="B31" s="108">
        <v>417.67695462045822</v>
      </c>
      <c r="C31" s="108">
        <v>278.36073729195738</v>
      </c>
      <c r="D31" s="108">
        <v>360.70098847544938</v>
      </c>
      <c r="E31" s="108">
        <v>354.6733555732016</v>
      </c>
      <c r="F31" s="108">
        <v>252.7791955889835</v>
      </c>
      <c r="G31" s="108">
        <v>331.51486147452613</v>
      </c>
      <c r="H31" s="108">
        <v>269.67236379075206</v>
      </c>
      <c r="I31" s="108">
        <v>255.24394813071913</v>
      </c>
      <c r="J31" s="108">
        <v>440.65943150993081</v>
      </c>
      <c r="K31" s="108">
        <v>357.84269409760617</v>
      </c>
      <c r="L31" s="108">
        <v>333.27396066181637</v>
      </c>
      <c r="M31" s="108">
        <v>390.08594318744986</v>
      </c>
      <c r="N31" s="108">
        <v>253.48932989648105</v>
      </c>
      <c r="O31" s="108">
        <v>397.95029348794998</v>
      </c>
      <c r="P31" s="108">
        <v>630.10898750229842</v>
      </c>
      <c r="Q31" s="108">
        <v>886.16186758305412</v>
      </c>
    </row>
    <row r="32" spans="1:17" x14ac:dyDescent="0.25">
      <c r="A32" s="105" t="s">
        <v>211</v>
      </c>
      <c r="B32" s="108">
        <v>81.474467853289013</v>
      </c>
      <c r="C32" s="108">
        <v>78.458137491012579</v>
      </c>
      <c r="D32" s="108">
        <v>87.220936646063478</v>
      </c>
      <c r="E32" s="108">
        <v>86.003155730456314</v>
      </c>
      <c r="F32" s="108">
        <v>77.341819449444955</v>
      </c>
      <c r="G32" s="108">
        <v>78.122901020135288</v>
      </c>
      <c r="H32" s="108">
        <v>90.85192739347579</v>
      </c>
      <c r="I32" s="108">
        <v>82.49445188234003</v>
      </c>
      <c r="J32" s="108">
        <v>89.234890916641717</v>
      </c>
      <c r="K32" s="108">
        <v>110.97356437903807</v>
      </c>
      <c r="L32" s="108">
        <v>77.512649521620901</v>
      </c>
      <c r="M32" s="108">
        <v>98.214080030168091</v>
      </c>
      <c r="N32" s="108">
        <v>85.883279223494867</v>
      </c>
      <c r="O32" s="108">
        <v>83.126746658788136</v>
      </c>
      <c r="P32" s="108">
        <v>100.38020950720538</v>
      </c>
      <c r="Q32" s="108">
        <v>105.77289749930084</v>
      </c>
    </row>
    <row r="33" spans="1:17" x14ac:dyDescent="0.25">
      <c r="A33" s="105" t="s">
        <v>212</v>
      </c>
      <c r="B33" s="108">
        <v>41.33806198671347</v>
      </c>
      <c r="C33" s="108">
        <v>14.82642306658212</v>
      </c>
      <c r="D33" s="108">
        <v>26.646776201467343</v>
      </c>
      <c r="E33" s="108">
        <v>9.4154439435476078</v>
      </c>
      <c r="F33" s="108">
        <v>10.958517318149907</v>
      </c>
      <c r="G33" s="108">
        <v>18.645725451765145</v>
      </c>
      <c r="H33" s="108">
        <v>67.51384258258372</v>
      </c>
      <c r="I33" s="108">
        <v>15.746344723573754</v>
      </c>
      <c r="J33" s="108">
        <v>47.565976498657328</v>
      </c>
      <c r="K33" s="108">
        <v>66.532340625572161</v>
      </c>
      <c r="L33" s="108">
        <v>37.010795395417617</v>
      </c>
      <c r="M33" s="108">
        <v>42.083329948263412</v>
      </c>
      <c r="N33" s="108">
        <v>62.043064190010725</v>
      </c>
      <c r="O33" s="108">
        <v>12.202029820554312</v>
      </c>
      <c r="P33" s="108">
        <v>20.739384969329578</v>
      </c>
      <c r="Q33" s="108">
        <v>11.771032970297187</v>
      </c>
    </row>
    <row r="34" spans="1:17" x14ac:dyDescent="0.25">
      <c r="A34" s="105" t="s">
        <v>213</v>
      </c>
      <c r="B34" s="108">
        <v>232.74351642719483</v>
      </c>
      <c r="C34" s="108">
        <v>230.83272760352477</v>
      </c>
      <c r="D34" s="108">
        <v>214.29740268460915</v>
      </c>
      <c r="E34" s="108">
        <v>217.31681589060037</v>
      </c>
      <c r="F34" s="108">
        <v>217.59605636606412</v>
      </c>
      <c r="G34" s="108">
        <v>223.61687437937934</v>
      </c>
      <c r="H34" s="108">
        <v>248.68540227422997</v>
      </c>
      <c r="I34" s="108">
        <v>208.41048142038966</v>
      </c>
      <c r="J34" s="108">
        <v>243.79236779502011</v>
      </c>
      <c r="K34" s="108">
        <v>257.18763742348597</v>
      </c>
      <c r="L34" s="108">
        <v>203.1637454977525</v>
      </c>
      <c r="M34" s="108">
        <v>251.46117270033821</v>
      </c>
      <c r="N34" s="108">
        <v>242.96013693020697</v>
      </c>
      <c r="O34" s="108">
        <v>228.89456598347965</v>
      </c>
      <c r="P34" s="108">
        <v>236.05866303702092</v>
      </c>
      <c r="Q34" s="108">
        <v>191.47991075093657</v>
      </c>
    </row>
    <row r="35" spans="1:17" x14ac:dyDescent="0.25">
      <c r="A35" s="105" t="s">
        <v>214</v>
      </c>
      <c r="B35" s="108">
        <v>6.5237510382214046</v>
      </c>
      <c r="C35" s="108">
        <v>7.1128985988704985</v>
      </c>
      <c r="D35" s="108">
        <v>13.064090210165963</v>
      </c>
      <c r="E35" s="108">
        <v>15.204271710963544</v>
      </c>
      <c r="F35" s="108">
        <v>11.368187851477986</v>
      </c>
      <c r="G35" s="108">
        <v>12.199778087064614</v>
      </c>
      <c r="H35" s="108">
        <v>14.319420001946057</v>
      </c>
      <c r="I35" s="108">
        <v>13.165816130666084</v>
      </c>
      <c r="J35" s="108">
        <v>21.899484548909562</v>
      </c>
      <c r="K35" s="108">
        <v>15.099299239106589</v>
      </c>
      <c r="L35" s="108">
        <v>6.9187831576610836</v>
      </c>
      <c r="M35" s="108">
        <v>11.767121366723059</v>
      </c>
      <c r="N35" s="108">
        <v>15.967603035128551</v>
      </c>
      <c r="O35" s="108">
        <v>13.512698980940886</v>
      </c>
      <c r="P35" s="108">
        <v>17.316364344020396</v>
      </c>
      <c r="Q35" s="108">
        <v>17.091539597695064</v>
      </c>
    </row>
    <row r="36" spans="1:17" x14ac:dyDescent="0.25">
      <c r="A36" s="105" t="s">
        <v>215</v>
      </c>
      <c r="B36" s="108">
        <v>48.646402024312273</v>
      </c>
      <c r="C36" s="108">
        <v>20.729599293673857</v>
      </c>
      <c r="D36" s="108">
        <v>20.375431761115749</v>
      </c>
      <c r="E36" s="108">
        <v>26.603555413973478</v>
      </c>
      <c r="F36" s="108">
        <v>55.513850124676786</v>
      </c>
      <c r="G36" s="108">
        <v>73.642755488970721</v>
      </c>
      <c r="H36" s="108">
        <v>37.895776534869462</v>
      </c>
      <c r="I36" s="108">
        <v>29.053118179065176</v>
      </c>
      <c r="J36" s="108">
        <v>46.853909108507573</v>
      </c>
      <c r="K36" s="108">
        <v>51.557977870916979</v>
      </c>
      <c r="L36" s="108">
        <v>48.8947730645314</v>
      </c>
      <c r="M36" s="108">
        <v>81.40708148650279</v>
      </c>
      <c r="N36" s="108">
        <v>52.056521444411686</v>
      </c>
      <c r="O36" s="108">
        <v>26.092260009089621</v>
      </c>
      <c r="P36" s="108">
        <v>33.226675119881222</v>
      </c>
      <c r="Q36" s="108">
        <v>30.861324822287145</v>
      </c>
    </row>
    <row r="37" spans="1:17" x14ac:dyDescent="0.25">
      <c r="A37" s="105" t="s">
        <v>216</v>
      </c>
      <c r="B37" s="108">
        <v>34.395189037327349</v>
      </c>
      <c r="C37" s="108">
        <v>26.453160384955162</v>
      </c>
      <c r="D37" s="108">
        <v>28.542392884298884</v>
      </c>
      <c r="E37" s="108">
        <v>28.130994901035471</v>
      </c>
      <c r="F37" s="108">
        <v>23.431818778134108</v>
      </c>
      <c r="G37" s="108">
        <v>25.781923095390681</v>
      </c>
      <c r="H37" s="108">
        <v>27.06309386537071</v>
      </c>
      <c r="I37" s="108">
        <v>29.737831029380494</v>
      </c>
      <c r="J37" s="108">
        <v>32.358241591949579</v>
      </c>
      <c r="K37" s="108">
        <v>41.329576222122149</v>
      </c>
      <c r="L37" s="108">
        <v>27.773758796397551</v>
      </c>
      <c r="M37" s="108">
        <v>32.456615135984407</v>
      </c>
      <c r="N37" s="108">
        <v>30.7352209901306</v>
      </c>
      <c r="O37" s="108">
        <v>30.793155414434398</v>
      </c>
      <c r="P37" s="108">
        <v>31.809834364016364</v>
      </c>
      <c r="Q37" s="108">
        <v>25.884265595201793</v>
      </c>
    </row>
    <row r="38" spans="1:17" x14ac:dyDescent="0.25">
      <c r="A38" s="105" t="s">
        <v>217</v>
      </c>
      <c r="B38" s="108">
        <v>32.08000471335636</v>
      </c>
      <c r="C38" s="108">
        <v>31.49478022825884</v>
      </c>
      <c r="D38" s="108">
        <v>35.025586768229424</v>
      </c>
      <c r="E38" s="108">
        <v>32.538811085742466</v>
      </c>
      <c r="F38" s="108">
        <v>32.593394324651271</v>
      </c>
      <c r="G38" s="108">
        <v>31.120629226805875</v>
      </c>
      <c r="H38" s="108">
        <v>37.012888450085136</v>
      </c>
      <c r="I38" s="108">
        <v>34.797519014783617</v>
      </c>
      <c r="J38" s="108">
        <v>39.09546407209902</v>
      </c>
      <c r="K38" s="108">
        <v>40.063492119730611</v>
      </c>
      <c r="L38" s="108">
        <v>30.15016754529994</v>
      </c>
      <c r="M38" s="108">
        <v>35.325915238280352</v>
      </c>
      <c r="N38" s="108">
        <v>27.346243053135741</v>
      </c>
      <c r="O38" s="108">
        <v>31.075066009662411</v>
      </c>
      <c r="P38" s="108">
        <v>33.110453652285621</v>
      </c>
      <c r="Q38" s="108">
        <v>39.103254365992896</v>
      </c>
    </row>
    <row r="39" spans="1:17" x14ac:dyDescent="0.25">
      <c r="A39" s="105" t="s">
        <v>201</v>
      </c>
      <c r="B39" s="108">
        <v>153.98390732177347</v>
      </c>
      <c r="C39" s="108">
        <v>135.75327140120373</v>
      </c>
      <c r="D39" s="108">
        <v>146.94476563740886</v>
      </c>
      <c r="E39" s="108">
        <v>147.56925014537853</v>
      </c>
      <c r="F39" s="108">
        <v>142.15560272358505</v>
      </c>
      <c r="G39" s="108">
        <v>140.00078257053804</v>
      </c>
      <c r="H39" s="108">
        <v>172.17641445634752</v>
      </c>
      <c r="I39" s="108">
        <v>157.19541558882224</v>
      </c>
      <c r="J39" s="108">
        <v>180.91428248269733</v>
      </c>
      <c r="K39" s="108">
        <v>181.07804845767771</v>
      </c>
      <c r="L39" s="108">
        <v>139.49585295432951</v>
      </c>
      <c r="M39" s="108">
        <v>166.06983510397299</v>
      </c>
      <c r="N39" s="108">
        <v>157.11047834664529</v>
      </c>
      <c r="O39" s="108">
        <v>152.70741151033181</v>
      </c>
      <c r="P39" s="108">
        <v>154.69727913145016</v>
      </c>
      <c r="Q39" s="108">
        <v>162.40510990467732</v>
      </c>
    </row>
    <row r="40" spans="1:17" x14ac:dyDescent="0.25">
      <c r="A40" s="105"/>
      <c r="B40" s="108"/>
      <c r="C40" s="108"/>
      <c r="D40" s="108"/>
      <c r="E40" s="108"/>
      <c r="F40" s="108"/>
      <c r="G40" s="108"/>
      <c r="H40" s="108"/>
      <c r="I40" s="108"/>
      <c r="J40" s="108"/>
      <c r="K40" s="108"/>
      <c r="L40" s="108"/>
      <c r="M40" s="108"/>
      <c r="N40" s="108"/>
      <c r="O40" s="108"/>
      <c r="P40" s="108"/>
      <c r="Q40" s="108"/>
    </row>
    <row r="41" spans="1:17" x14ac:dyDescent="0.25">
      <c r="A41" s="106" t="s">
        <v>218</v>
      </c>
      <c r="B41" s="107">
        <v>340.13371366225084</v>
      </c>
      <c r="C41" s="107">
        <v>269.38887601018052</v>
      </c>
      <c r="D41" s="107">
        <v>315.21014695396218</v>
      </c>
      <c r="E41" s="107">
        <v>344.6575408098048</v>
      </c>
      <c r="F41" s="107">
        <v>288.75385944955184</v>
      </c>
      <c r="G41" s="107">
        <v>304.46206429513165</v>
      </c>
      <c r="H41" s="107">
        <v>408.69831682339736</v>
      </c>
      <c r="I41" s="107">
        <v>325.87651589394108</v>
      </c>
      <c r="J41" s="107">
        <v>346.69033184809177</v>
      </c>
      <c r="K41" s="107">
        <v>425.11324165664621</v>
      </c>
      <c r="L41" s="107">
        <v>304.35646295540676</v>
      </c>
      <c r="M41" s="107">
        <v>416.56265778333761</v>
      </c>
      <c r="N41" s="107">
        <v>392.59841105930775</v>
      </c>
      <c r="O41" s="107">
        <v>363.6685915223436</v>
      </c>
      <c r="P41" s="107">
        <v>372.08799833863878</v>
      </c>
      <c r="Q41" s="107">
        <v>391.80389023910453</v>
      </c>
    </row>
    <row r="42" spans="1:17" x14ac:dyDescent="0.25">
      <c r="A42" s="105" t="s">
        <v>219</v>
      </c>
      <c r="B42" s="108">
        <v>83.071375482983981</v>
      </c>
      <c r="C42" s="108">
        <v>74.931558145897256</v>
      </c>
      <c r="D42" s="108">
        <v>76.147122906028542</v>
      </c>
      <c r="E42" s="108">
        <v>92.624691074165781</v>
      </c>
      <c r="F42" s="108">
        <v>74.874567077980942</v>
      </c>
      <c r="G42" s="108">
        <v>77.401564931007314</v>
      </c>
      <c r="H42" s="108">
        <v>90.100026716772675</v>
      </c>
      <c r="I42" s="108">
        <v>80.4879575978037</v>
      </c>
      <c r="J42" s="108">
        <v>89.552518525259316</v>
      </c>
      <c r="K42" s="108">
        <v>101.03246662411071</v>
      </c>
      <c r="L42" s="108">
        <v>73.04552539114141</v>
      </c>
      <c r="M42" s="108">
        <v>103.53382659300149</v>
      </c>
      <c r="N42" s="108">
        <v>82.987719419830057</v>
      </c>
      <c r="O42" s="108">
        <v>77.774074688118006</v>
      </c>
      <c r="P42" s="108">
        <v>83.783284259804574</v>
      </c>
      <c r="Q42" s="108">
        <v>88.275884816472669</v>
      </c>
    </row>
    <row r="43" spans="1:17" x14ac:dyDescent="0.25">
      <c r="A43" s="105" t="s">
        <v>220</v>
      </c>
      <c r="B43" s="108">
        <v>16.999021036560251</v>
      </c>
      <c r="C43" s="108">
        <v>17.448154374242343</v>
      </c>
      <c r="D43" s="108">
        <v>25.370257325731899</v>
      </c>
      <c r="E43" s="108">
        <v>38.322272938305943</v>
      </c>
      <c r="F43" s="108">
        <v>32.703633889107465</v>
      </c>
      <c r="G43" s="108">
        <v>42.814008137341133</v>
      </c>
      <c r="H43" s="108">
        <v>55.023902807403118</v>
      </c>
      <c r="I43" s="108">
        <v>57.99052194258433</v>
      </c>
      <c r="J43" s="108">
        <v>67.733905243459944</v>
      </c>
      <c r="K43" s="108">
        <v>68.073571610247072</v>
      </c>
      <c r="L43" s="108">
        <v>62.779587030393635</v>
      </c>
      <c r="M43" s="108">
        <v>70.249094870034341</v>
      </c>
      <c r="N43" s="108">
        <v>72.636923560837715</v>
      </c>
      <c r="O43" s="108">
        <v>56.428480908238136</v>
      </c>
      <c r="P43" s="108">
        <v>68.239117423485851</v>
      </c>
      <c r="Q43" s="108">
        <v>54.109106441271415</v>
      </c>
    </row>
    <row r="44" spans="1:17" x14ac:dyDescent="0.25">
      <c r="A44" s="105" t="s">
        <v>221</v>
      </c>
      <c r="B44" s="108">
        <v>239.78165823372035</v>
      </c>
      <c r="C44" s="108">
        <v>176.52247083422901</v>
      </c>
      <c r="D44" s="108">
        <v>213.39256517037333</v>
      </c>
      <c r="E44" s="108">
        <v>213.33068843055597</v>
      </c>
      <c r="F44" s="108">
        <v>180.89263315834719</v>
      </c>
      <c r="G44" s="108">
        <v>184.10539737393688</v>
      </c>
      <c r="H44" s="108">
        <v>263.1315903071748</v>
      </c>
      <c r="I44" s="108">
        <v>187.23858478134034</v>
      </c>
      <c r="J44" s="108">
        <v>189.12512448729387</v>
      </c>
      <c r="K44" s="108">
        <v>255.73704419713621</v>
      </c>
      <c r="L44" s="108">
        <v>168.01840351300973</v>
      </c>
      <c r="M44" s="108">
        <v>242.11355583376371</v>
      </c>
      <c r="N44" s="108">
        <v>236.32405475981102</v>
      </c>
      <c r="O44" s="108">
        <v>228.96600479112294</v>
      </c>
      <c r="P44" s="108">
        <v>219.73907970462267</v>
      </c>
      <c r="Q44" s="108">
        <v>249.16530134001576</v>
      </c>
    </row>
    <row r="45" spans="1:17" x14ac:dyDescent="0.25">
      <c r="A45" s="105" t="s">
        <v>201</v>
      </c>
      <c r="B45" s="108">
        <v>0.28165890898623047</v>
      </c>
      <c r="C45" s="108">
        <v>0.48669265581190757</v>
      </c>
      <c r="D45" s="108">
        <v>0.30020155182842245</v>
      </c>
      <c r="E45" s="108">
        <v>0.37988836677709514</v>
      </c>
      <c r="F45" s="108">
        <v>0.28302532411623815</v>
      </c>
      <c r="G45" s="108">
        <v>0.14109385284632481</v>
      </c>
      <c r="H45" s="108">
        <v>0.44279699204673761</v>
      </c>
      <c r="I45" s="108">
        <v>0.15945157221273121</v>
      </c>
      <c r="J45" s="108">
        <v>0.27878359207863923</v>
      </c>
      <c r="K45" s="108">
        <v>0.27015922515221291</v>
      </c>
      <c r="L45" s="108">
        <v>0.5129470208619864</v>
      </c>
      <c r="M45" s="108">
        <v>0.66618048653805317</v>
      </c>
      <c r="N45" s="108">
        <v>0.6497133188289772</v>
      </c>
      <c r="O45" s="108">
        <v>0.50003113486451878</v>
      </c>
      <c r="P45" s="108">
        <v>0.32651695072566733</v>
      </c>
      <c r="Q45" s="108">
        <v>0.25359764134472423</v>
      </c>
    </row>
    <row r="46" spans="1:17" x14ac:dyDescent="0.25">
      <c r="A46" s="105"/>
      <c r="B46" s="108"/>
      <c r="C46" s="108"/>
      <c r="D46" s="108"/>
      <c r="E46" s="108"/>
      <c r="F46" s="108"/>
      <c r="G46" s="108"/>
      <c r="H46" s="108"/>
      <c r="I46" s="108"/>
      <c r="J46" s="108"/>
      <c r="K46" s="108"/>
      <c r="L46" s="108"/>
      <c r="M46" s="108"/>
      <c r="N46" s="108"/>
      <c r="O46" s="108"/>
      <c r="P46" s="108"/>
      <c r="Q46" s="108"/>
    </row>
    <row r="47" spans="1:17" x14ac:dyDescent="0.25">
      <c r="A47" s="106" t="s">
        <v>222</v>
      </c>
      <c r="B47" s="107">
        <v>1781.7947911898907</v>
      </c>
      <c r="C47" s="107">
        <v>1460.3915814871384</v>
      </c>
      <c r="D47" s="107">
        <v>1637.009677457535</v>
      </c>
      <c r="E47" s="107">
        <v>1685.7178691751301</v>
      </c>
      <c r="F47" s="107">
        <v>1506.8773451891027</v>
      </c>
      <c r="G47" s="107">
        <v>1681.9086670219494</v>
      </c>
      <c r="H47" s="107">
        <v>1881.6250459886805</v>
      </c>
      <c r="I47" s="107">
        <v>1693.9217123550309</v>
      </c>
      <c r="J47" s="107">
        <v>2048.2458347919119</v>
      </c>
      <c r="K47" s="107">
        <v>2156.384289268663</v>
      </c>
      <c r="L47" s="107">
        <v>1778.4199712119439</v>
      </c>
      <c r="M47" s="107">
        <v>2154.7253888391283</v>
      </c>
      <c r="N47" s="107">
        <v>1802.4971843734602</v>
      </c>
      <c r="O47" s="107">
        <v>1833.3620412393027</v>
      </c>
      <c r="P47" s="107">
        <v>2131.6090393533123</v>
      </c>
      <c r="Q47" s="107">
        <v>2455.1173415972394</v>
      </c>
    </row>
    <row r="48" spans="1:17" x14ac:dyDescent="0.25">
      <c r="A48" s="106"/>
      <c r="B48" s="107"/>
      <c r="C48" s="107"/>
      <c r="D48" s="107"/>
      <c r="E48" s="107"/>
      <c r="F48" s="107"/>
      <c r="G48" s="107"/>
      <c r="H48" s="107"/>
      <c r="I48" s="107"/>
      <c r="J48" s="107"/>
      <c r="K48" s="107"/>
      <c r="L48" s="107"/>
      <c r="M48" s="107"/>
      <c r="N48" s="107"/>
      <c r="O48" s="107"/>
      <c r="P48" s="107"/>
      <c r="Q48" s="107"/>
    </row>
    <row r="49" spans="1:17" x14ac:dyDescent="0.25">
      <c r="A49" s="106" t="s">
        <v>223</v>
      </c>
      <c r="B49" s="107">
        <v>3.7308098989880705</v>
      </c>
      <c r="C49" s="107">
        <v>3.8115693920162244</v>
      </c>
      <c r="D49" s="107">
        <v>0.29712372368078377</v>
      </c>
      <c r="E49" s="107">
        <v>0.17020017539363153</v>
      </c>
      <c r="F49" s="107">
        <v>0.29205617507949455</v>
      </c>
      <c r="G49" s="107">
        <v>0.18374015404282318</v>
      </c>
      <c r="H49" s="107">
        <v>0.59689770446470902</v>
      </c>
      <c r="I49" s="107">
        <v>2.5648774644942023</v>
      </c>
      <c r="J49" s="107">
        <v>0.34813587546051394</v>
      </c>
      <c r="K49" s="107">
        <v>0.37156550412493061</v>
      </c>
      <c r="L49" s="107">
        <v>7.0975227319479472E-2</v>
      </c>
      <c r="M49" s="107">
        <v>0.48012936282140117</v>
      </c>
      <c r="N49" s="107">
        <v>0.76522156154464938</v>
      </c>
      <c r="O49" s="107">
        <v>0.46663247570120348</v>
      </c>
      <c r="P49" s="107">
        <v>2.4619186424328632</v>
      </c>
      <c r="Q49" s="107">
        <v>1.5933773718726911</v>
      </c>
    </row>
    <row r="50" spans="1:17" x14ac:dyDescent="0.25">
      <c r="A50" s="106"/>
      <c r="B50" s="107"/>
      <c r="C50" s="107"/>
      <c r="D50" s="107"/>
      <c r="E50" s="107"/>
      <c r="F50" s="107"/>
      <c r="G50" s="107"/>
      <c r="H50" s="107"/>
      <c r="I50" s="107"/>
      <c r="J50" s="107"/>
      <c r="K50" s="107"/>
      <c r="L50" s="107"/>
      <c r="M50" s="107"/>
      <c r="N50" s="107"/>
      <c r="O50" s="107"/>
      <c r="P50" s="107"/>
      <c r="Q50" s="107"/>
    </row>
    <row r="51" spans="1:17" x14ac:dyDescent="0.25">
      <c r="A51" s="106" t="s">
        <v>224</v>
      </c>
      <c r="B51" s="107">
        <v>1785.5256010888788</v>
      </c>
      <c r="C51" s="107">
        <v>1464.2031508791547</v>
      </c>
      <c r="D51" s="107">
        <v>1637.3068011812159</v>
      </c>
      <c r="E51" s="107">
        <v>1685.8880693505237</v>
      </c>
      <c r="F51" s="107">
        <v>1507.1694013641822</v>
      </c>
      <c r="G51" s="107">
        <v>1682.0924071759928</v>
      </c>
      <c r="H51" s="107">
        <v>1882.2219436931452</v>
      </c>
      <c r="I51" s="107">
        <v>1696.4865898195253</v>
      </c>
      <c r="J51" s="107">
        <v>2048.593970667373</v>
      </c>
      <c r="K51" s="107">
        <v>2156.7558547727881</v>
      </c>
      <c r="L51" s="107">
        <v>1778.4909464392631</v>
      </c>
      <c r="M51" s="107">
        <v>2155.2055182019499</v>
      </c>
      <c r="N51" s="107">
        <v>1803.2624059350048</v>
      </c>
      <c r="O51" s="107">
        <v>1833.8286737150038</v>
      </c>
      <c r="P51" s="107">
        <v>2134.0709579957452</v>
      </c>
      <c r="Q51" s="107">
        <v>2456.7107189691119</v>
      </c>
    </row>
    <row r="52" spans="1:17" x14ac:dyDescent="0.25">
      <c r="A52" s="109"/>
      <c r="B52" s="110"/>
      <c r="C52" s="110"/>
      <c r="D52" s="110"/>
      <c r="E52" s="110"/>
      <c r="F52" s="110"/>
      <c r="G52" s="110"/>
      <c r="H52" s="110"/>
      <c r="I52" s="110"/>
      <c r="J52" s="110"/>
      <c r="K52" s="110"/>
      <c r="L52" s="110"/>
      <c r="M52" s="110"/>
      <c r="N52" s="110"/>
      <c r="O52" s="110"/>
      <c r="P52" s="110"/>
      <c r="Q52" s="110"/>
    </row>
    <row r="53" spans="1:17" x14ac:dyDescent="0.25">
      <c r="A53" s="112" t="s">
        <v>111</v>
      </c>
      <c r="B53" s="112"/>
      <c r="C53" s="112"/>
      <c r="D53" s="112"/>
      <c r="E53" s="112"/>
      <c r="H53" s="112"/>
      <c r="I53" s="112"/>
      <c r="J53" s="112"/>
      <c r="K53" s="112"/>
      <c r="L53" s="112"/>
      <c r="M53" s="112"/>
      <c r="N53" s="136" t="s">
        <v>5</v>
      </c>
      <c r="O53" s="112" t="s">
        <v>225</v>
      </c>
    </row>
    <row r="54" spans="1:17" x14ac:dyDescent="0.25">
      <c r="A54" s="112" t="s">
        <v>226</v>
      </c>
      <c r="B54" s="112"/>
      <c r="C54" s="112"/>
      <c r="D54" s="112"/>
      <c r="E54" s="112"/>
      <c r="H54" s="112"/>
      <c r="I54" s="112"/>
      <c r="J54" s="112"/>
      <c r="K54" s="112"/>
      <c r="L54" s="112"/>
      <c r="M54" s="112"/>
      <c r="N54" s="112"/>
      <c r="O54" s="112" t="s">
        <v>227</v>
      </c>
    </row>
    <row r="55" spans="1:17" x14ac:dyDescent="0.25">
      <c r="A55" s="112"/>
      <c r="B55" s="112"/>
      <c r="C55" s="112"/>
      <c r="D55" s="112"/>
      <c r="E55" s="112"/>
      <c r="H55" s="112"/>
      <c r="I55" s="112"/>
      <c r="J55" s="112"/>
      <c r="K55" s="112"/>
      <c r="L55" s="112"/>
      <c r="M55" s="112"/>
      <c r="N55" s="112"/>
      <c r="O55" s="112" t="s">
        <v>113</v>
      </c>
    </row>
    <row r="56" spans="1:17" x14ac:dyDescent="0.25">
      <c r="A56" s="112"/>
      <c r="B56" s="112"/>
      <c r="C56" s="112"/>
      <c r="D56" s="112"/>
      <c r="E56" s="112"/>
      <c r="H56" s="112"/>
      <c r="I56" s="112"/>
      <c r="J56" s="112"/>
      <c r="K56" s="112"/>
      <c r="L56" s="112"/>
      <c r="M56" s="112"/>
      <c r="N56" s="112"/>
      <c r="O56" s="112" t="s">
        <v>114</v>
      </c>
    </row>
    <row r="57" spans="1:17" x14ac:dyDescent="0.25">
      <c r="A57" s="112"/>
      <c r="B57" s="112"/>
      <c r="C57" s="112"/>
      <c r="D57" s="112"/>
      <c r="E57" s="112"/>
      <c r="F57" s="112"/>
    </row>
    <row r="58" spans="1:17" x14ac:dyDescent="0.25">
      <c r="A58" s="112"/>
      <c r="B58" s="112"/>
      <c r="C58" s="112"/>
      <c r="D58" s="112"/>
      <c r="E58" s="112"/>
      <c r="F58" s="112"/>
    </row>
  </sheetData>
  <mergeCells count="1">
    <mergeCell ref="A4:P4"/>
  </mergeCells>
  <hyperlinks>
    <hyperlink ref="Q2" location="Contents!A1" display="Back to Contents" xr:uid="{176EA873-1601-46E3-8674-2DF790A12A5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E41BC-0749-4FE5-8266-2207C74AF4DE}">
  <sheetPr>
    <pageSetUpPr fitToPage="1"/>
  </sheetPr>
  <dimension ref="A1:M119"/>
  <sheetViews>
    <sheetView zoomScaleNormal="100" workbookViewId="0">
      <selection activeCell="M2" sqref="M2"/>
    </sheetView>
  </sheetViews>
  <sheetFormatPr defaultRowHeight="15" customHeight="1" x14ac:dyDescent="0.2"/>
  <cols>
    <col min="1" max="13" width="15.42578125" style="19" customWidth="1"/>
    <col min="14" max="16384" width="9.140625" style="19"/>
  </cols>
  <sheetData>
    <row r="1" spans="1:13" s="16" customFormat="1" ht="15" customHeight="1" x14ac:dyDescent="0.25">
      <c r="A1" s="13" t="s">
        <v>29</v>
      </c>
      <c r="B1" s="14"/>
      <c r="C1" s="14"/>
      <c r="D1" s="14"/>
      <c r="E1" s="14"/>
      <c r="F1" s="14"/>
      <c r="G1" s="14"/>
      <c r="H1" s="14"/>
      <c r="I1" s="14"/>
      <c r="J1" s="14"/>
      <c r="K1" s="14"/>
      <c r="L1" s="14"/>
      <c r="M1" s="15" t="s">
        <v>231</v>
      </c>
    </row>
    <row r="2" spans="1:13" s="16" customFormat="1" ht="15" customHeight="1" x14ac:dyDescent="0.25">
      <c r="A2" s="54" t="s">
        <v>286</v>
      </c>
      <c r="B2" s="14"/>
      <c r="C2" s="14"/>
      <c r="D2" s="14"/>
      <c r="E2" s="14"/>
      <c r="F2" s="14"/>
      <c r="G2" s="14"/>
      <c r="H2" s="14"/>
      <c r="I2" s="14"/>
      <c r="J2" s="14"/>
      <c r="K2" s="14"/>
      <c r="L2" s="14"/>
      <c r="M2" s="17" t="s">
        <v>10</v>
      </c>
    </row>
    <row r="3" spans="1:13" s="16" customFormat="1" ht="13.5" customHeight="1" x14ac:dyDescent="0.25">
      <c r="A3" s="14"/>
      <c r="B3" s="14"/>
      <c r="C3" s="14"/>
      <c r="D3" s="14"/>
      <c r="E3" s="14"/>
      <c r="F3" s="14"/>
      <c r="G3" s="14"/>
      <c r="H3" s="14"/>
      <c r="I3" s="14"/>
      <c r="J3" s="14"/>
      <c r="K3" s="14"/>
      <c r="L3" s="14"/>
      <c r="M3" s="17"/>
    </row>
    <row r="4" spans="1:13" s="16" customFormat="1" ht="18.75" customHeight="1" x14ac:dyDescent="0.3">
      <c r="A4" s="208" t="s">
        <v>320</v>
      </c>
      <c r="B4" s="208"/>
      <c r="C4" s="208"/>
      <c r="D4" s="208"/>
      <c r="E4" s="208"/>
      <c r="F4" s="208"/>
      <c r="G4" s="208"/>
      <c r="H4" s="208"/>
      <c r="I4" s="208"/>
      <c r="J4" s="208"/>
      <c r="K4" s="208"/>
      <c r="L4" s="208"/>
      <c r="M4" s="14"/>
    </row>
    <row r="5" spans="1:13" s="99" customFormat="1" ht="15" customHeight="1" x14ac:dyDescent="0.2">
      <c r="A5" s="215" t="s">
        <v>3</v>
      </c>
      <c r="B5" s="212" t="s">
        <v>228</v>
      </c>
      <c r="C5" s="212"/>
      <c r="D5" s="212"/>
      <c r="E5" s="212"/>
      <c r="F5" s="212"/>
      <c r="G5" s="212"/>
      <c r="H5" s="212"/>
      <c r="I5" s="212"/>
      <c r="J5" s="212"/>
      <c r="K5" s="212"/>
      <c r="L5" s="213"/>
      <c r="M5" s="265" t="s">
        <v>234</v>
      </c>
    </row>
    <row r="6" spans="1:13" s="99" customFormat="1" ht="75" customHeight="1" x14ac:dyDescent="0.2">
      <c r="A6" s="216"/>
      <c r="B6" s="125" t="s">
        <v>37</v>
      </c>
      <c r="C6" s="126" t="s">
        <v>38</v>
      </c>
      <c r="D6" s="126" t="s">
        <v>39</v>
      </c>
      <c r="E6" s="126" t="s">
        <v>40</v>
      </c>
      <c r="F6" s="126" t="s">
        <v>41</v>
      </c>
      <c r="G6" s="126" t="s">
        <v>42</v>
      </c>
      <c r="H6" s="126" t="s">
        <v>43</v>
      </c>
      <c r="I6" s="126" t="s">
        <v>229</v>
      </c>
      <c r="J6" s="126" t="s">
        <v>45</v>
      </c>
      <c r="K6" s="126" t="s">
        <v>46</v>
      </c>
      <c r="L6" s="153" t="s">
        <v>230</v>
      </c>
      <c r="M6" s="266"/>
    </row>
    <row r="7" spans="1:13" ht="15" customHeight="1" x14ac:dyDescent="0.2">
      <c r="A7" s="35" t="s">
        <v>48</v>
      </c>
      <c r="B7" s="37">
        <v>2107.6140187570427</v>
      </c>
      <c r="C7" s="37">
        <v>93.77326859628748</v>
      </c>
      <c r="D7" s="37">
        <v>436.17017227881126</v>
      </c>
      <c r="E7" s="37">
        <v>2542.5805139695817</v>
      </c>
      <c r="F7" s="37">
        <v>195.4329769694537</v>
      </c>
      <c r="G7" s="37">
        <v>2192.3812774633734</v>
      </c>
      <c r="H7" s="37">
        <v>4474.2631046662646</v>
      </c>
      <c r="I7" s="37">
        <v>3204.3856276436172</v>
      </c>
      <c r="J7" s="37">
        <v>790.20712154047783</v>
      </c>
      <c r="K7" s="37">
        <v>18.568361675487722</v>
      </c>
      <c r="L7" s="37">
        <v>16055.376443560397</v>
      </c>
      <c r="M7" s="37">
        <v>2974915.362977556</v>
      </c>
    </row>
    <row r="8" spans="1:13" ht="15" customHeight="1" x14ac:dyDescent="0.2">
      <c r="A8" s="34" t="s">
        <v>49</v>
      </c>
      <c r="B8" s="22">
        <v>2275.1985632349306</v>
      </c>
      <c r="C8" s="22">
        <v>76.809656812937533</v>
      </c>
      <c r="D8" s="22">
        <v>584.67349896528174</v>
      </c>
      <c r="E8" s="22">
        <v>3742.8595997269631</v>
      </c>
      <c r="F8" s="22">
        <v>285.18753087199337</v>
      </c>
      <c r="G8" s="22">
        <v>2847.8751482057501</v>
      </c>
      <c r="H8" s="22">
        <v>5976.7659178163558</v>
      </c>
      <c r="I8" s="22">
        <v>3876.2414060001392</v>
      </c>
      <c r="J8" s="22">
        <v>953.31591996232646</v>
      </c>
      <c r="K8" s="22">
        <v>18.489893419725149</v>
      </c>
      <c r="L8" s="22">
        <v>20637.417135016403</v>
      </c>
      <c r="M8" s="22">
        <v>4104217.5207189731</v>
      </c>
    </row>
    <row r="9" spans="1:13" ht="15" customHeight="1" x14ac:dyDescent="0.2">
      <c r="A9" s="35" t="s">
        <v>50</v>
      </c>
      <c r="B9" s="37">
        <v>2162.1726356615927</v>
      </c>
      <c r="C9" s="37">
        <v>100.9983544767239</v>
      </c>
      <c r="D9" s="37">
        <v>465.3392457637504</v>
      </c>
      <c r="E9" s="37">
        <v>4896.7767917226702</v>
      </c>
      <c r="F9" s="37">
        <v>79.777187343889793</v>
      </c>
      <c r="G9" s="37">
        <v>2392.1656504846605</v>
      </c>
      <c r="H9" s="37">
        <v>5114.0537431526091</v>
      </c>
      <c r="I9" s="37">
        <v>2278.1402854154994</v>
      </c>
      <c r="J9" s="37">
        <v>791.25075996011367</v>
      </c>
      <c r="K9" s="37">
        <v>10.341750076120206</v>
      </c>
      <c r="L9" s="37">
        <v>18291.016404057631</v>
      </c>
      <c r="M9" s="37">
        <v>5737333.3605397781</v>
      </c>
    </row>
    <row r="10" spans="1:13" ht="15" customHeight="1" x14ac:dyDescent="0.2">
      <c r="A10" s="34" t="s">
        <v>51</v>
      </c>
      <c r="B10" s="22">
        <v>2186.0503486099406</v>
      </c>
      <c r="C10" s="22">
        <v>122.0275645218357</v>
      </c>
      <c r="D10" s="22">
        <v>328.82857053035258</v>
      </c>
      <c r="E10" s="22">
        <v>4702.6411555132609</v>
      </c>
      <c r="F10" s="22">
        <v>162.94168881688941</v>
      </c>
      <c r="G10" s="22">
        <v>2150.5150400138273</v>
      </c>
      <c r="H10" s="22">
        <v>4267.7714356672623</v>
      </c>
      <c r="I10" s="22">
        <v>2137.9352545368924</v>
      </c>
      <c r="J10" s="22">
        <v>736.11855235913652</v>
      </c>
      <c r="K10" s="22">
        <v>16.300744022556273</v>
      </c>
      <c r="L10" s="22">
        <v>16811.130354591955</v>
      </c>
      <c r="M10" s="22">
        <v>5492605.8018225385</v>
      </c>
    </row>
    <row r="11" spans="1:13" ht="15" customHeight="1" x14ac:dyDescent="0.2">
      <c r="A11" s="35" t="s">
        <v>338</v>
      </c>
      <c r="B11" s="37">
        <v>2395.8157742103635</v>
      </c>
      <c r="C11" s="37">
        <v>122.99345826055003</v>
      </c>
      <c r="D11" s="37">
        <v>458.31718221480031</v>
      </c>
      <c r="E11" s="37">
        <v>4354.3874285978973</v>
      </c>
      <c r="F11" s="37">
        <v>285.93698094862987</v>
      </c>
      <c r="G11" s="37">
        <v>2330.0669639851349</v>
      </c>
      <c r="H11" s="37">
        <v>5102.3443205995891</v>
      </c>
      <c r="I11" s="37">
        <v>2908.8428136255698</v>
      </c>
      <c r="J11" s="37">
        <v>868.4744966277284</v>
      </c>
      <c r="K11" s="37">
        <v>14.183831275997578</v>
      </c>
      <c r="L11" s="37">
        <v>18841.363250346258</v>
      </c>
      <c r="M11" s="37">
        <v>5685530.8965935195</v>
      </c>
    </row>
    <row r="12" spans="1:13" ht="15" customHeight="1" x14ac:dyDescent="0.2">
      <c r="A12" s="34" t="s">
        <v>337</v>
      </c>
      <c r="B12" s="22">
        <v>2536.2024400745399</v>
      </c>
      <c r="C12" s="22">
        <v>135.3096811514967</v>
      </c>
      <c r="D12" s="22">
        <v>503.92494908926437</v>
      </c>
      <c r="E12" s="22">
        <v>4042.4844028210168</v>
      </c>
      <c r="F12" s="22">
        <v>434.26691669256735</v>
      </c>
      <c r="G12" s="22">
        <v>2608.9524620602961</v>
      </c>
      <c r="H12" s="22">
        <v>5048.4239278449968</v>
      </c>
      <c r="I12" s="22">
        <v>5145.9706176005166</v>
      </c>
      <c r="J12" s="22">
        <v>1007.4619441623388</v>
      </c>
      <c r="K12" s="22">
        <v>16.94291313696116</v>
      </c>
      <c r="L12" s="22">
        <v>21479.940254633992</v>
      </c>
      <c r="M12" s="22">
        <v>6469261.8252157178</v>
      </c>
    </row>
    <row r="13" spans="1:13" ht="15" customHeight="1" x14ac:dyDescent="0.2">
      <c r="A13" s="8"/>
      <c r="B13" s="22"/>
      <c r="C13" s="22"/>
      <c r="D13" s="22"/>
      <c r="E13" s="22"/>
      <c r="F13" s="22"/>
      <c r="G13" s="22"/>
      <c r="H13" s="22"/>
      <c r="I13" s="22"/>
      <c r="J13" s="22"/>
      <c r="K13" s="22"/>
      <c r="L13" s="22"/>
      <c r="M13" s="22"/>
    </row>
    <row r="14" spans="1:13" ht="15" customHeight="1" x14ac:dyDescent="0.2">
      <c r="A14" s="9" t="s">
        <v>13</v>
      </c>
      <c r="B14" s="37">
        <v>562.35833506019821</v>
      </c>
      <c r="C14" s="37">
        <v>26.198733895948319</v>
      </c>
      <c r="D14" s="37">
        <v>133.38444613242737</v>
      </c>
      <c r="E14" s="37">
        <v>948.2314956442799</v>
      </c>
      <c r="F14" s="37">
        <v>47.636812262802188</v>
      </c>
      <c r="G14" s="37">
        <v>465.08290808684643</v>
      </c>
      <c r="H14" s="37">
        <v>1153.2208674076151</v>
      </c>
      <c r="I14" s="37">
        <v>927.67046769203125</v>
      </c>
      <c r="J14" s="37">
        <v>235.08423475290041</v>
      </c>
      <c r="K14" s="37">
        <v>3.8318279694708508</v>
      </c>
      <c r="L14" s="37">
        <v>4502.7001289045202</v>
      </c>
      <c r="M14" s="37">
        <v>821456.90030385344</v>
      </c>
    </row>
    <row r="15" spans="1:13" ht="15" customHeight="1" x14ac:dyDescent="0.2">
      <c r="A15" s="9" t="s">
        <v>14</v>
      </c>
      <c r="B15" s="37">
        <v>494.4525727836218</v>
      </c>
      <c r="C15" s="37">
        <v>25.703509655139179</v>
      </c>
      <c r="D15" s="37">
        <v>98.266604810265946</v>
      </c>
      <c r="E15" s="37">
        <v>295.1658912344148</v>
      </c>
      <c r="F15" s="37">
        <v>22.627759109684412</v>
      </c>
      <c r="G15" s="37">
        <v>510.59400151778669</v>
      </c>
      <c r="H15" s="37">
        <v>843.75138664500389</v>
      </c>
      <c r="I15" s="37">
        <v>727.92188779415733</v>
      </c>
      <c r="J15" s="37">
        <v>150.00518566183422</v>
      </c>
      <c r="K15" s="37">
        <v>3.3922643209025409</v>
      </c>
      <c r="L15" s="37">
        <v>3171.8810635328105</v>
      </c>
      <c r="M15" s="37">
        <v>599729.45370312966</v>
      </c>
    </row>
    <row r="16" spans="1:13" ht="15" customHeight="1" x14ac:dyDescent="0.2">
      <c r="A16" s="9" t="s">
        <v>15</v>
      </c>
      <c r="B16" s="37">
        <v>527.55875173315258</v>
      </c>
      <c r="C16" s="37">
        <v>22.084678747845153</v>
      </c>
      <c r="D16" s="37">
        <v>107.85290036169165</v>
      </c>
      <c r="E16" s="37">
        <v>661.76226954856497</v>
      </c>
      <c r="F16" s="37">
        <v>57.879138532637597</v>
      </c>
      <c r="G16" s="37">
        <v>566.11332862422853</v>
      </c>
      <c r="H16" s="37">
        <v>1200.4638371157575</v>
      </c>
      <c r="I16" s="37">
        <v>766.13446232261072</v>
      </c>
      <c r="J16" s="37">
        <v>194.16981084351281</v>
      </c>
      <c r="K16" s="37">
        <v>3.6481415407486111</v>
      </c>
      <c r="L16" s="37">
        <v>4107.6673193707502</v>
      </c>
      <c r="M16" s="37">
        <v>760927.97906428413</v>
      </c>
    </row>
    <row r="17" spans="1:13" ht="15" customHeight="1" x14ac:dyDescent="0.2">
      <c r="A17" s="9" t="s">
        <v>16</v>
      </c>
      <c r="B17" s="37">
        <v>523.24435918006986</v>
      </c>
      <c r="C17" s="37">
        <v>19.786346297354836</v>
      </c>
      <c r="D17" s="37">
        <v>96.666220974426352</v>
      </c>
      <c r="E17" s="37">
        <v>637.42085754232221</v>
      </c>
      <c r="F17" s="37">
        <v>67.289267064329522</v>
      </c>
      <c r="G17" s="37">
        <v>650.59103923451153</v>
      </c>
      <c r="H17" s="37">
        <v>1276.8270134978891</v>
      </c>
      <c r="I17" s="37">
        <v>782.65880983481816</v>
      </c>
      <c r="J17" s="37">
        <v>210.94789028223039</v>
      </c>
      <c r="K17" s="37">
        <v>7.6961278443657193</v>
      </c>
      <c r="L17" s="37">
        <v>4273.1279317523176</v>
      </c>
      <c r="M17" s="37">
        <v>792801.02990628849</v>
      </c>
    </row>
    <row r="18" spans="1:13" ht="15" customHeight="1" x14ac:dyDescent="0.2">
      <c r="A18" s="8" t="s">
        <v>17</v>
      </c>
      <c r="B18" s="22">
        <v>637.06301339402467</v>
      </c>
      <c r="C18" s="22">
        <v>18.525582323937972</v>
      </c>
      <c r="D18" s="22">
        <v>143.22462458079687</v>
      </c>
      <c r="E18" s="22">
        <v>977.15452267862611</v>
      </c>
      <c r="F18" s="22">
        <v>93.193215292318229</v>
      </c>
      <c r="G18" s="22">
        <v>644.11987681020867</v>
      </c>
      <c r="H18" s="22">
        <v>1333.8413293438625</v>
      </c>
      <c r="I18" s="22">
        <v>962.39596627378774</v>
      </c>
      <c r="J18" s="22">
        <v>228.83273936864745</v>
      </c>
      <c r="K18" s="22">
        <v>2.775137105457361</v>
      </c>
      <c r="L18" s="22">
        <v>5041.126007171667</v>
      </c>
      <c r="M18" s="22">
        <v>978240.24003161758</v>
      </c>
    </row>
    <row r="19" spans="1:13" ht="15" customHeight="1" x14ac:dyDescent="0.2">
      <c r="A19" s="8" t="s">
        <v>18</v>
      </c>
      <c r="B19" s="22">
        <v>553.52705483410068</v>
      </c>
      <c r="C19" s="22">
        <v>18.609086896189272</v>
      </c>
      <c r="D19" s="22">
        <v>143.56257064112205</v>
      </c>
      <c r="E19" s="22">
        <v>810.00706904090384</v>
      </c>
      <c r="F19" s="22">
        <v>58.575120623622865</v>
      </c>
      <c r="G19" s="22">
        <v>733.69443378211372</v>
      </c>
      <c r="H19" s="22">
        <v>1473.6376246116411</v>
      </c>
      <c r="I19" s="22">
        <v>949.22319275020664</v>
      </c>
      <c r="J19" s="22">
        <v>229.96231390617658</v>
      </c>
      <c r="K19" s="22">
        <v>2.8119479572189903</v>
      </c>
      <c r="L19" s="22">
        <v>4973.6104150432957</v>
      </c>
      <c r="M19" s="22">
        <v>989350.52109088935</v>
      </c>
    </row>
    <row r="20" spans="1:13" ht="15" customHeight="1" x14ac:dyDescent="0.2">
      <c r="A20" s="8" t="s">
        <v>19</v>
      </c>
      <c r="B20" s="22">
        <v>494.68950872440075</v>
      </c>
      <c r="C20" s="22">
        <v>19.727239517989283</v>
      </c>
      <c r="D20" s="22">
        <v>133.53412576168182</v>
      </c>
      <c r="E20" s="22">
        <v>809.6722933541713</v>
      </c>
      <c r="F20" s="22">
        <v>78.561108685170908</v>
      </c>
      <c r="G20" s="22">
        <v>718.96115240902691</v>
      </c>
      <c r="H20" s="22">
        <v>1465.0058052869599</v>
      </c>
      <c r="I20" s="22">
        <v>960.99331696046352</v>
      </c>
      <c r="J20" s="22">
        <v>238.11275921746957</v>
      </c>
      <c r="K20" s="22">
        <v>3.5385930235070191</v>
      </c>
      <c r="L20" s="22">
        <v>4922.7959029408412</v>
      </c>
      <c r="M20" s="22">
        <v>988389.04252942279</v>
      </c>
    </row>
    <row r="21" spans="1:13" ht="15" customHeight="1" x14ac:dyDescent="0.2">
      <c r="A21" s="8" t="s">
        <v>20</v>
      </c>
      <c r="B21" s="22">
        <v>589.9189862824046</v>
      </c>
      <c r="C21" s="22">
        <v>19.947748074821028</v>
      </c>
      <c r="D21" s="22">
        <v>164.35217798168102</v>
      </c>
      <c r="E21" s="22">
        <v>1146.0257146532626</v>
      </c>
      <c r="F21" s="22">
        <v>54.858086270881429</v>
      </c>
      <c r="G21" s="22">
        <v>751.0996852044002</v>
      </c>
      <c r="H21" s="22">
        <v>1704.2811585738925</v>
      </c>
      <c r="I21" s="22">
        <v>1003.6289300156807</v>
      </c>
      <c r="J21" s="22">
        <v>256.4081074700328</v>
      </c>
      <c r="K21" s="22">
        <v>9.3642153335417788</v>
      </c>
      <c r="L21" s="22">
        <v>5699.8848098605977</v>
      </c>
      <c r="M21" s="22">
        <v>1148237.7170670428</v>
      </c>
    </row>
    <row r="22" spans="1:13" ht="15" customHeight="1" x14ac:dyDescent="0.2">
      <c r="A22" s="9" t="s">
        <v>21</v>
      </c>
      <c r="B22" s="37">
        <v>650.84048277591478</v>
      </c>
      <c r="C22" s="37">
        <v>25.423334940190724</v>
      </c>
      <c r="D22" s="37">
        <v>141.11163008870835</v>
      </c>
      <c r="E22" s="37">
        <v>1412.3060380242207</v>
      </c>
      <c r="F22" s="37">
        <v>36.870486899554955</v>
      </c>
      <c r="G22" s="37">
        <v>659.68969507304314</v>
      </c>
      <c r="H22" s="37">
        <v>1626.9732129383715</v>
      </c>
      <c r="I22" s="37">
        <v>849.97589133464521</v>
      </c>
      <c r="J22" s="37">
        <v>245.40825035024346</v>
      </c>
      <c r="K22" s="37">
        <v>2.6462113358759325</v>
      </c>
      <c r="L22" s="37">
        <v>5651.2452337607683</v>
      </c>
      <c r="M22" s="37">
        <v>1237880.8107217792</v>
      </c>
    </row>
    <row r="23" spans="1:13" ht="15" customHeight="1" x14ac:dyDescent="0.2">
      <c r="A23" s="9" t="s">
        <v>22</v>
      </c>
      <c r="B23" s="37">
        <v>474.9555654434717</v>
      </c>
      <c r="C23" s="37">
        <v>23.612885899459737</v>
      </c>
      <c r="D23" s="37">
        <v>113.2772427991392</v>
      </c>
      <c r="E23" s="37">
        <v>1171.631746922995</v>
      </c>
      <c r="F23" s="37">
        <v>20.106716253293559</v>
      </c>
      <c r="G23" s="37">
        <v>524.9270166233523</v>
      </c>
      <c r="H23" s="37">
        <v>1301.5910140115793</v>
      </c>
      <c r="I23" s="37">
        <v>550.48002926282948</v>
      </c>
      <c r="J23" s="37">
        <v>195.51634686426183</v>
      </c>
      <c r="K23" s="37">
        <v>0.80281624478016056</v>
      </c>
      <c r="L23" s="37">
        <v>4376.9013803251619</v>
      </c>
      <c r="M23" s="37">
        <v>1505533.0633290117</v>
      </c>
    </row>
    <row r="24" spans="1:13" ht="15" customHeight="1" x14ac:dyDescent="0.2">
      <c r="A24" s="9" t="s">
        <v>23</v>
      </c>
      <c r="B24" s="37">
        <v>476.20439271962454</v>
      </c>
      <c r="C24" s="37">
        <v>26.972851566578143</v>
      </c>
      <c r="D24" s="37">
        <v>127.4140119079799</v>
      </c>
      <c r="E24" s="37">
        <v>1110.3822529831091</v>
      </c>
      <c r="F24" s="37">
        <v>8.2296467584636162</v>
      </c>
      <c r="G24" s="37">
        <v>558.21289411459111</v>
      </c>
      <c r="H24" s="37">
        <v>1137.8943376564894</v>
      </c>
      <c r="I24" s="37">
        <v>432.66952245222944</v>
      </c>
      <c r="J24" s="37">
        <v>172.82637502816561</v>
      </c>
      <c r="K24" s="37">
        <v>6.2709741573869451</v>
      </c>
      <c r="L24" s="37">
        <v>4057.0772593446181</v>
      </c>
      <c r="M24" s="37">
        <v>1466213.9238401167</v>
      </c>
    </row>
    <row r="25" spans="1:13" ht="15" customHeight="1" x14ac:dyDescent="0.2">
      <c r="A25" s="9" t="s">
        <v>24</v>
      </c>
      <c r="B25" s="37">
        <v>560.17219472258171</v>
      </c>
      <c r="C25" s="37">
        <v>24.989282070495314</v>
      </c>
      <c r="D25" s="37">
        <v>83.536360967922988</v>
      </c>
      <c r="E25" s="37">
        <v>1202.4567537923454</v>
      </c>
      <c r="F25" s="37">
        <v>14.570337432577652</v>
      </c>
      <c r="G25" s="37">
        <v>649.33604467367411</v>
      </c>
      <c r="H25" s="37">
        <v>1047.5951785461684</v>
      </c>
      <c r="I25" s="37">
        <v>445.0148423657954</v>
      </c>
      <c r="J25" s="37">
        <v>177.49978771744281</v>
      </c>
      <c r="K25" s="37">
        <v>0.62174833807716823</v>
      </c>
      <c r="L25" s="37">
        <v>4205.7925306270809</v>
      </c>
      <c r="M25" s="37">
        <v>1527705.5626488712</v>
      </c>
    </row>
    <row r="26" spans="1:13" ht="15" customHeight="1" x14ac:dyDescent="0.2">
      <c r="A26" s="8" t="s">
        <v>25</v>
      </c>
      <c r="B26" s="22">
        <v>523.85667872899398</v>
      </c>
      <c r="C26" s="22">
        <v>25.650176912627977</v>
      </c>
      <c r="D26" s="22">
        <v>68.186436403480457</v>
      </c>
      <c r="E26" s="22">
        <v>1111.8219879864459</v>
      </c>
      <c r="F26" s="22">
        <v>27.802877937069827</v>
      </c>
      <c r="G26" s="22">
        <v>489.47478102445507</v>
      </c>
      <c r="H26" s="22">
        <v>1015.2363541875826</v>
      </c>
      <c r="I26" s="22">
        <v>455.94293255986986</v>
      </c>
      <c r="J26" s="22">
        <v>171.59399802407211</v>
      </c>
      <c r="K26" s="22">
        <v>4.389256201968692</v>
      </c>
      <c r="L26" s="22">
        <v>3893.9554799665657</v>
      </c>
      <c r="M26" s="22">
        <v>1363037.4821875934</v>
      </c>
    </row>
    <row r="27" spans="1:13" ht="15" customHeight="1" x14ac:dyDescent="0.2">
      <c r="A27" s="8" t="s">
        <v>26</v>
      </c>
      <c r="B27" s="22">
        <v>595.95197815711367</v>
      </c>
      <c r="C27" s="22">
        <v>31.8724106130907</v>
      </c>
      <c r="D27" s="22">
        <v>77.727036336847291</v>
      </c>
      <c r="E27" s="22">
        <v>1243.024236291918</v>
      </c>
      <c r="F27" s="22">
        <v>54.054595829358959</v>
      </c>
      <c r="G27" s="22">
        <v>543.62396552598057</v>
      </c>
      <c r="H27" s="22">
        <v>1077.2789351697575</v>
      </c>
      <c r="I27" s="22">
        <v>465.80595817154926</v>
      </c>
      <c r="J27" s="22">
        <v>173.69439503241108</v>
      </c>
      <c r="K27" s="22">
        <v>3.5143043186835712</v>
      </c>
      <c r="L27" s="22">
        <v>4266.54781544671</v>
      </c>
      <c r="M27" s="22">
        <v>1327256.5366212775</v>
      </c>
    </row>
    <row r="28" spans="1:13" ht="15" customHeight="1" x14ac:dyDescent="0.2">
      <c r="A28" s="8" t="s">
        <v>27</v>
      </c>
      <c r="B28" s="22">
        <v>529.2419850238972</v>
      </c>
      <c r="C28" s="22">
        <v>31.6864664859527</v>
      </c>
      <c r="D28" s="22">
        <v>92.985657847422516</v>
      </c>
      <c r="E28" s="22">
        <v>1121.4397260127957</v>
      </c>
      <c r="F28" s="22">
        <v>42.908636202923901</v>
      </c>
      <c r="G28" s="22">
        <v>537.75992985432663</v>
      </c>
      <c r="H28" s="22">
        <v>1017.5315254569086</v>
      </c>
      <c r="I28" s="22">
        <v>600.02118934948612</v>
      </c>
      <c r="J28" s="22">
        <v>185.62691632018024</v>
      </c>
      <c r="K28" s="22">
        <v>3.6578887597638641</v>
      </c>
      <c r="L28" s="22">
        <v>4162.8599213136577</v>
      </c>
      <c r="M28" s="22">
        <v>1337114.9732158566</v>
      </c>
    </row>
    <row r="29" spans="1:13" ht="15" customHeight="1" x14ac:dyDescent="0.2">
      <c r="A29" s="8" t="s">
        <v>28</v>
      </c>
      <c r="B29" s="22">
        <v>536.99970669993593</v>
      </c>
      <c r="C29" s="22">
        <v>32.818510510164316</v>
      </c>
      <c r="D29" s="22">
        <v>89.929439942602372</v>
      </c>
      <c r="E29" s="22">
        <v>1226.3552052221005</v>
      </c>
      <c r="F29" s="22">
        <v>38.175578847536741</v>
      </c>
      <c r="G29" s="22">
        <v>579.65636360906524</v>
      </c>
      <c r="H29" s="22">
        <v>1157.7246208530132</v>
      </c>
      <c r="I29" s="22">
        <v>616.1651744559872</v>
      </c>
      <c r="J29" s="22">
        <v>205.20324298247306</v>
      </c>
      <c r="K29" s="22">
        <v>4.7392947421401459</v>
      </c>
      <c r="L29" s="22">
        <v>4487.7671378650193</v>
      </c>
      <c r="M29" s="22">
        <v>1465196.8097978116</v>
      </c>
    </row>
    <row r="30" spans="1:13" ht="15" customHeight="1" x14ac:dyDescent="0.2">
      <c r="A30" s="9" t="s">
        <v>369</v>
      </c>
      <c r="B30" s="37">
        <v>501.92363687375928</v>
      </c>
      <c r="C30" s="37">
        <v>22.707673467794315</v>
      </c>
      <c r="D30" s="37">
        <v>95.449746170177008</v>
      </c>
      <c r="E30" s="37">
        <v>1170.0451861154422</v>
      </c>
      <c r="F30" s="37">
        <v>48.30685854660436</v>
      </c>
      <c r="G30" s="37">
        <v>514.99887831302829</v>
      </c>
      <c r="H30" s="37">
        <v>1202.9473894437428</v>
      </c>
      <c r="I30" s="37">
        <v>633.47428976865137</v>
      </c>
      <c r="J30" s="37">
        <v>206.7065888235706</v>
      </c>
      <c r="K30" s="37">
        <v>1.297393628912904</v>
      </c>
      <c r="L30" s="37">
        <v>4397.8576411516833</v>
      </c>
      <c r="M30" s="37">
        <v>1377259.3914911465</v>
      </c>
    </row>
    <row r="31" spans="1:13" ht="15" customHeight="1" x14ac:dyDescent="0.2">
      <c r="A31" s="9" t="s">
        <v>370</v>
      </c>
      <c r="B31" s="37">
        <v>549.97304051458593</v>
      </c>
      <c r="C31" s="37">
        <v>32.573724170894934</v>
      </c>
      <c r="D31" s="37">
        <v>102.50323762194328</v>
      </c>
      <c r="E31" s="37">
        <v>1039.1184203068851</v>
      </c>
      <c r="F31" s="37">
        <v>50.143021252341896</v>
      </c>
      <c r="G31" s="37">
        <v>511.94976314906745</v>
      </c>
      <c r="H31" s="37">
        <v>1204.2953547540196</v>
      </c>
      <c r="I31" s="37">
        <v>613.68475050074676</v>
      </c>
      <c r="J31" s="37">
        <v>180.30263849349734</v>
      </c>
      <c r="K31" s="37">
        <v>1.9189284166303082</v>
      </c>
      <c r="L31" s="37">
        <v>4286.4628791806126</v>
      </c>
      <c r="M31" s="37">
        <v>1290193.4844692391</v>
      </c>
    </row>
    <row r="32" spans="1:13" ht="15" customHeight="1" x14ac:dyDescent="0.2">
      <c r="A32" s="9" t="s">
        <v>371</v>
      </c>
      <c r="B32" s="37">
        <v>640.18653656061997</v>
      </c>
      <c r="C32" s="37">
        <v>35.01117377976361</v>
      </c>
      <c r="D32" s="37">
        <v>138.93647262075112</v>
      </c>
      <c r="E32" s="37">
        <v>1063.3286736645973</v>
      </c>
      <c r="F32" s="37">
        <v>95.771812330573468</v>
      </c>
      <c r="G32" s="37">
        <v>662.52636065645152</v>
      </c>
      <c r="H32" s="37">
        <v>1362.4471937282417</v>
      </c>
      <c r="I32" s="37">
        <v>809.90584100305034</v>
      </c>
      <c r="J32" s="37">
        <v>221.9073513574962</v>
      </c>
      <c r="K32" s="37">
        <v>3.8654286913214646</v>
      </c>
      <c r="L32" s="37">
        <v>5033.8868443928668</v>
      </c>
      <c r="M32" s="37">
        <v>1519678.6892556136</v>
      </c>
    </row>
    <row r="33" spans="1:13" ht="15" customHeight="1" x14ac:dyDescent="0.2">
      <c r="A33" s="9" t="s">
        <v>372</v>
      </c>
      <c r="B33" s="37">
        <v>703.73256026139825</v>
      </c>
      <c r="C33" s="37">
        <v>32.700886842097177</v>
      </c>
      <c r="D33" s="37">
        <v>121.42772580192899</v>
      </c>
      <c r="E33" s="37">
        <v>1081.8951485109728</v>
      </c>
      <c r="F33" s="37">
        <v>91.715288819110157</v>
      </c>
      <c r="G33" s="37">
        <v>640.59196186658755</v>
      </c>
      <c r="H33" s="37">
        <v>1332.6543826735845</v>
      </c>
      <c r="I33" s="37">
        <v>851.77793235312129</v>
      </c>
      <c r="J33" s="37">
        <v>259.55791795316429</v>
      </c>
      <c r="K33" s="37">
        <v>7.1020805391329009</v>
      </c>
      <c r="L33" s="37">
        <v>5123.1558856210977</v>
      </c>
      <c r="M33" s="37">
        <v>1498399.3313775209</v>
      </c>
    </row>
    <row r="34" spans="1:13" ht="15" customHeight="1" x14ac:dyDescent="0.2">
      <c r="A34" s="8" t="s">
        <v>246</v>
      </c>
      <c r="B34" s="22">
        <v>709.11294884880544</v>
      </c>
      <c r="C34" s="22">
        <v>25.265637909548538</v>
      </c>
      <c r="D34" s="22">
        <v>115.17293610027141</v>
      </c>
      <c r="E34" s="22">
        <v>1056.7386803878651</v>
      </c>
      <c r="F34" s="22">
        <v>126.81468179271465</v>
      </c>
      <c r="G34" s="22">
        <v>578.92581886154858</v>
      </c>
      <c r="H34" s="22">
        <v>1166.8060518594343</v>
      </c>
      <c r="I34" s="22">
        <v>839.7950908766461</v>
      </c>
      <c r="J34" s="22">
        <v>263.54687028992055</v>
      </c>
      <c r="K34" s="22">
        <v>4.8568362224944517</v>
      </c>
      <c r="L34" s="22">
        <v>4887.0355531492496</v>
      </c>
      <c r="M34" s="22">
        <v>1447910.5500226421</v>
      </c>
    </row>
    <row r="35" spans="1:13" ht="15" customHeight="1" x14ac:dyDescent="0.2">
      <c r="A35" s="8" t="s">
        <v>247</v>
      </c>
      <c r="B35" s="22">
        <v>503.48910279641825</v>
      </c>
      <c r="C35" s="22">
        <v>31.786187010097155</v>
      </c>
      <c r="D35" s="22">
        <v>111.08449597392797</v>
      </c>
      <c r="E35" s="22">
        <v>938.96741263671117</v>
      </c>
      <c r="F35" s="22">
        <v>106.22149119751374</v>
      </c>
      <c r="G35" s="22">
        <v>587.24196973815538</v>
      </c>
      <c r="H35" s="22">
        <v>1236.2368842139679</v>
      </c>
      <c r="I35" s="22">
        <v>1114.7180459282399</v>
      </c>
      <c r="J35" s="22">
        <v>243.93837116787824</v>
      </c>
      <c r="K35" s="22">
        <v>1.4659172277896211</v>
      </c>
      <c r="L35" s="22">
        <v>4875.1498778906989</v>
      </c>
      <c r="M35" s="22">
        <v>1459019.9768242808</v>
      </c>
    </row>
    <row r="36" spans="1:13" ht="15" customHeight="1" x14ac:dyDescent="0.2">
      <c r="A36" s="8" t="s">
        <v>339</v>
      </c>
      <c r="B36" s="22">
        <v>602.78240157079449</v>
      </c>
      <c r="C36" s="22">
        <v>36.589378981246604</v>
      </c>
      <c r="D36" s="22">
        <v>143.4804333750198</v>
      </c>
      <c r="E36" s="22">
        <v>965.57574343140186</v>
      </c>
      <c r="F36" s="22">
        <v>110.0900007300317</v>
      </c>
      <c r="G36" s="22">
        <v>699.77990129718967</v>
      </c>
      <c r="H36" s="22">
        <v>1295.8362949438451</v>
      </c>
      <c r="I36" s="22">
        <v>1508.0371758541992</v>
      </c>
      <c r="J36" s="22">
        <v>259.30318246379056</v>
      </c>
      <c r="K36" s="22">
        <v>5.8279915325249148</v>
      </c>
      <c r="L36" s="22">
        <v>5627.3025041800429</v>
      </c>
      <c r="M36" s="22">
        <v>1697325.965851754</v>
      </c>
    </row>
    <row r="37" spans="1:13" ht="15" customHeight="1" x14ac:dyDescent="0.2">
      <c r="A37" s="8" t="s">
        <v>340</v>
      </c>
      <c r="B37" s="22">
        <v>720.81798685852175</v>
      </c>
      <c r="C37" s="22">
        <v>41.668477250604411</v>
      </c>
      <c r="D37" s="22">
        <v>134.18708364004522</v>
      </c>
      <c r="E37" s="22">
        <v>1081.2025663650388</v>
      </c>
      <c r="F37" s="22">
        <v>91.140742972307223</v>
      </c>
      <c r="G37" s="22">
        <v>743.00477216340232</v>
      </c>
      <c r="H37" s="22">
        <v>1349.5446968277488</v>
      </c>
      <c r="I37" s="22">
        <v>1683.4203049414309</v>
      </c>
      <c r="J37" s="22">
        <v>240.67352024074944</v>
      </c>
      <c r="K37" s="22">
        <v>4.7921681541521739</v>
      </c>
      <c r="L37" s="22">
        <v>6090.4523194140011</v>
      </c>
      <c r="M37" s="22">
        <v>1865005.3325170409</v>
      </c>
    </row>
    <row r="38" spans="1:13" ht="15" customHeight="1" x14ac:dyDescent="0.2">
      <c r="A38" s="173" t="s">
        <v>384</v>
      </c>
      <c r="B38" s="170">
        <v>629.54007884296163</v>
      </c>
      <c r="C38" s="170">
        <v>33.921819862966096</v>
      </c>
      <c r="D38" s="170">
        <v>128.66947204047113</v>
      </c>
      <c r="E38" s="170">
        <v>1281.5486108867294</v>
      </c>
      <c r="F38" s="170">
        <v>88.070603348474833</v>
      </c>
      <c r="G38" s="170">
        <v>618.18672173945879</v>
      </c>
      <c r="H38" s="170">
        <v>1264.5669559481828</v>
      </c>
      <c r="I38" s="170">
        <v>1478.0508516521345</v>
      </c>
      <c r="J38" s="170">
        <v>248.6069233243752</v>
      </c>
      <c r="K38" s="170">
        <v>2.0522261792857677</v>
      </c>
      <c r="L38" s="170">
        <v>5771.162037645754</v>
      </c>
      <c r="M38" s="170">
        <v>1791352.0657373033</v>
      </c>
    </row>
    <row r="39" spans="1:13" ht="15" customHeight="1" x14ac:dyDescent="0.2">
      <c r="A39" s="8"/>
      <c r="B39" s="22"/>
      <c r="C39" s="22"/>
      <c r="D39" s="22"/>
      <c r="E39" s="22"/>
      <c r="F39" s="22"/>
      <c r="G39" s="22"/>
      <c r="H39" s="22"/>
      <c r="I39" s="22"/>
      <c r="J39" s="22"/>
      <c r="K39" s="22"/>
      <c r="L39" s="22"/>
      <c r="M39" s="22"/>
    </row>
    <row r="40" spans="1:13" ht="15" customHeight="1" x14ac:dyDescent="0.2">
      <c r="A40" s="10">
        <v>43831</v>
      </c>
      <c r="B40" s="37">
        <v>178.63313565993178</v>
      </c>
      <c r="C40" s="37">
        <v>9.7777774641738091</v>
      </c>
      <c r="D40" s="37">
        <v>49.041529159289006</v>
      </c>
      <c r="E40" s="37">
        <v>291.85313638828779</v>
      </c>
      <c r="F40" s="37">
        <v>13.643598859118562</v>
      </c>
      <c r="G40" s="37">
        <v>176.82899748406317</v>
      </c>
      <c r="H40" s="37">
        <v>502.94935191473604</v>
      </c>
      <c r="I40" s="37">
        <v>406.17258545034389</v>
      </c>
      <c r="J40" s="37">
        <v>105.50468373284764</v>
      </c>
      <c r="K40" s="37">
        <v>0.92229231393434929</v>
      </c>
      <c r="L40" s="37">
        <v>1735.327088426726</v>
      </c>
      <c r="M40" s="37">
        <v>314794.58101812645</v>
      </c>
    </row>
    <row r="41" spans="1:13" ht="15" customHeight="1" x14ac:dyDescent="0.2">
      <c r="A41" s="10">
        <v>43862</v>
      </c>
      <c r="B41" s="37">
        <v>158.87863729794867</v>
      </c>
      <c r="C41" s="37">
        <v>10.920596785244555</v>
      </c>
      <c r="D41" s="37">
        <v>42.862199955056866</v>
      </c>
      <c r="E41" s="37">
        <v>418.72032158943796</v>
      </c>
      <c r="F41" s="37">
        <v>23.957240299224292</v>
      </c>
      <c r="G41" s="37">
        <v>163.70778163258115</v>
      </c>
      <c r="H41" s="37">
        <v>358.783206477318</v>
      </c>
      <c r="I41" s="37">
        <v>303.16702528271213</v>
      </c>
      <c r="J41" s="37">
        <v>79.861534460803639</v>
      </c>
      <c r="K41" s="37">
        <v>1.4652932098426845</v>
      </c>
      <c r="L41" s="37">
        <v>1562.3238369901699</v>
      </c>
      <c r="M41" s="37">
        <v>283659.89035067882</v>
      </c>
    </row>
    <row r="42" spans="1:13" ht="15" customHeight="1" x14ac:dyDescent="0.2">
      <c r="A42" s="10">
        <v>43891</v>
      </c>
      <c r="B42" s="37">
        <v>224.84656210231779</v>
      </c>
      <c r="C42" s="37">
        <v>5.5003596465299553</v>
      </c>
      <c r="D42" s="37">
        <v>41.480717018081485</v>
      </c>
      <c r="E42" s="37">
        <v>237.65803766655409</v>
      </c>
      <c r="F42" s="37">
        <v>10.035973104459336</v>
      </c>
      <c r="G42" s="37">
        <v>124.54612897020212</v>
      </c>
      <c r="H42" s="37">
        <v>291.48830901556119</v>
      </c>
      <c r="I42" s="37">
        <v>218.33085695897529</v>
      </c>
      <c r="J42" s="37">
        <v>49.718016559249143</v>
      </c>
      <c r="K42" s="37">
        <v>1.444242445693817</v>
      </c>
      <c r="L42" s="37">
        <v>1205.0492034876243</v>
      </c>
      <c r="M42" s="37">
        <v>223002.42893504823</v>
      </c>
    </row>
    <row r="43" spans="1:13" ht="15" customHeight="1" x14ac:dyDescent="0.2">
      <c r="A43" s="10">
        <v>43922</v>
      </c>
      <c r="B43" s="37">
        <v>164.83947353347276</v>
      </c>
      <c r="C43" s="37">
        <v>6.6214284767258427</v>
      </c>
      <c r="D43" s="37">
        <v>31.596934729399528</v>
      </c>
      <c r="E43" s="37">
        <v>121.81761067641987</v>
      </c>
      <c r="F43" s="37">
        <v>7.0064847471636895</v>
      </c>
      <c r="G43" s="37">
        <v>172.01276781672775</v>
      </c>
      <c r="H43" s="37">
        <v>292.56909154705642</v>
      </c>
      <c r="I43" s="37">
        <v>280.47410337084006</v>
      </c>
      <c r="J43" s="37">
        <v>45.313093553422476</v>
      </c>
      <c r="K43" s="37">
        <v>0.35597426320146042</v>
      </c>
      <c r="L43" s="37">
        <v>1122.60696271443</v>
      </c>
      <c r="M43" s="37">
        <v>216759.01443850074</v>
      </c>
    </row>
    <row r="44" spans="1:13" ht="15" customHeight="1" x14ac:dyDescent="0.2">
      <c r="A44" s="10">
        <v>43952</v>
      </c>
      <c r="B44" s="37">
        <v>182.88840119766849</v>
      </c>
      <c r="C44" s="37">
        <v>6.6124310435685203</v>
      </c>
      <c r="D44" s="37">
        <v>37.489008085593369</v>
      </c>
      <c r="E44" s="37">
        <v>62.899182730870571</v>
      </c>
      <c r="F44" s="37">
        <v>10.253447555425439</v>
      </c>
      <c r="G44" s="37">
        <v>168.40930004524526</v>
      </c>
      <c r="H44" s="37">
        <v>231.11983104356852</v>
      </c>
      <c r="I44" s="37">
        <v>245.29200233146139</v>
      </c>
      <c r="J44" s="37">
        <v>46.655109147526147</v>
      </c>
      <c r="K44" s="37">
        <v>2.2040996939292654</v>
      </c>
      <c r="L44" s="37">
        <v>993.82281287485694</v>
      </c>
      <c r="M44" s="37">
        <v>186704.522740735</v>
      </c>
    </row>
    <row r="45" spans="1:13" ht="15" customHeight="1" x14ac:dyDescent="0.2">
      <c r="A45" s="10">
        <v>43983</v>
      </c>
      <c r="B45" s="37">
        <v>146.72469805248059</v>
      </c>
      <c r="C45" s="37">
        <v>12.469650134844814</v>
      </c>
      <c r="D45" s="37">
        <v>29.180661995273041</v>
      </c>
      <c r="E45" s="37">
        <v>110.44909782712436</v>
      </c>
      <c r="F45" s="37">
        <v>5.3678268070952839</v>
      </c>
      <c r="G45" s="37">
        <v>170.17193365581369</v>
      </c>
      <c r="H45" s="37">
        <v>320.06246405437889</v>
      </c>
      <c r="I45" s="37">
        <v>202.15578209185577</v>
      </c>
      <c r="J45" s="37">
        <v>58.036982960885581</v>
      </c>
      <c r="K45" s="37">
        <v>0.8321903637718151</v>
      </c>
      <c r="L45" s="37">
        <v>1055.4512879435238</v>
      </c>
      <c r="M45" s="37">
        <v>196265.916523894</v>
      </c>
    </row>
    <row r="46" spans="1:13" ht="15" customHeight="1" x14ac:dyDescent="0.2">
      <c r="A46" s="10">
        <v>44013</v>
      </c>
      <c r="B46" s="37">
        <v>167.73475190302651</v>
      </c>
      <c r="C46" s="37">
        <v>6.3349628810962901</v>
      </c>
      <c r="D46" s="37">
        <v>40.908772291654444</v>
      </c>
      <c r="E46" s="37">
        <v>200.29482410040481</v>
      </c>
      <c r="F46" s="37">
        <v>18.955914106474783</v>
      </c>
      <c r="G46" s="37">
        <v>186.30570143885862</v>
      </c>
      <c r="H46" s="37">
        <v>383.11961550982062</v>
      </c>
      <c r="I46" s="37">
        <v>224.34618467602948</v>
      </c>
      <c r="J46" s="37">
        <v>63.053957482618927</v>
      </c>
      <c r="K46" s="37">
        <v>2.6396295158372141</v>
      </c>
      <c r="L46" s="37">
        <v>1293.6943139058217</v>
      </c>
      <c r="M46" s="37">
        <v>240431.40643678888</v>
      </c>
    </row>
    <row r="47" spans="1:13" ht="15" customHeight="1" x14ac:dyDescent="0.2">
      <c r="A47" s="10">
        <v>44044</v>
      </c>
      <c r="B47" s="37">
        <v>160.92575013020982</v>
      </c>
      <c r="C47" s="37">
        <v>9.1276947860367486</v>
      </c>
      <c r="D47" s="37">
        <v>28.430920295369397</v>
      </c>
      <c r="E47" s="37">
        <v>247.51436251263186</v>
      </c>
      <c r="F47" s="37">
        <v>21.934956853633356</v>
      </c>
      <c r="G47" s="37">
        <v>168.36943450811518</v>
      </c>
      <c r="H47" s="37">
        <v>369.88735793338776</v>
      </c>
      <c r="I47" s="37">
        <v>225.05013076147995</v>
      </c>
      <c r="J47" s="37">
        <v>57.53072073226862</v>
      </c>
      <c r="K47" s="37">
        <v>0.31668157251237972</v>
      </c>
      <c r="L47" s="37">
        <v>1289.0880100856452</v>
      </c>
      <c r="M47" s="37">
        <v>238344.5096279743</v>
      </c>
    </row>
    <row r="48" spans="1:13" ht="15" customHeight="1" x14ac:dyDescent="0.2">
      <c r="A48" s="10">
        <v>44075</v>
      </c>
      <c r="B48" s="37">
        <v>198.89824969991628</v>
      </c>
      <c r="C48" s="37">
        <v>6.6220210807121154</v>
      </c>
      <c r="D48" s="37">
        <v>38.513207774667805</v>
      </c>
      <c r="E48" s="37">
        <v>213.95308293552836</v>
      </c>
      <c r="F48" s="37">
        <v>16.988267572529463</v>
      </c>
      <c r="G48" s="37">
        <v>211.43819267725473</v>
      </c>
      <c r="H48" s="37">
        <v>447.4568636725491</v>
      </c>
      <c r="I48" s="37">
        <v>316.73814688510129</v>
      </c>
      <c r="J48" s="37">
        <v>73.58513262862526</v>
      </c>
      <c r="K48" s="37">
        <v>0.6918304523990173</v>
      </c>
      <c r="L48" s="37">
        <v>1524.8849953792833</v>
      </c>
      <c r="M48" s="37">
        <v>282152.06299952092</v>
      </c>
    </row>
    <row r="49" spans="1:13" ht="15" customHeight="1" x14ac:dyDescent="0.2">
      <c r="A49" s="10">
        <v>44105</v>
      </c>
      <c r="B49" s="37">
        <v>153.80170218268589</v>
      </c>
      <c r="C49" s="37">
        <v>6.4065719410164608</v>
      </c>
      <c r="D49" s="37">
        <v>30.784457825642125</v>
      </c>
      <c r="E49" s="37">
        <v>223.41650052244194</v>
      </c>
      <c r="F49" s="37">
        <v>20.325902534132084</v>
      </c>
      <c r="G49" s="37">
        <v>195.42904573300825</v>
      </c>
      <c r="H49" s="37">
        <v>428.23347142859467</v>
      </c>
      <c r="I49" s="37">
        <v>235.6467019034591</v>
      </c>
      <c r="J49" s="37">
        <v>66.166411670269497</v>
      </c>
      <c r="K49" s="37">
        <v>2.5696216729534171</v>
      </c>
      <c r="L49" s="37">
        <v>1362.7803874142035</v>
      </c>
      <c r="M49" s="37">
        <v>251348.35281586216</v>
      </c>
    </row>
    <row r="50" spans="1:13" ht="15" customHeight="1" x14ac:dyDescent="0.2">
      <c r="A50" s="10">
        <v>44136</v>
      </c>
      <c r="B50" s="37">
        <v>161.29469699905081</v>
      </c>
      <c r="C50" s="37">
        <v>5.9275515969093266</v>
      </c>
      <c r="D50" s="37">
        <v>29.610121582438705</v>
      </c>
      <c r="E50" s="37">
        <v>178.92154518222807</v>
      </c>
      <c r="F50" s="37">
        <v>24.294814187269534</v>
      </c>
      <c r="G50" s="37">
        <v>236.9565375927684</v>
      </c>
      <c r="H50" s="37">
        <v>414.18504691858027</v>
      </c>
      <c r="I50" s="37">
        <v>262.18829708823398</v>
      </c>
      <c r="J50" s="37">
        <v>68.014616474428564</v>
      </c>
      <c r="K50" s="37">
        <v>2.3072833970368265</v>
      </c>
      <c r="L50" s="37">
        <v>1383.7005110189446</v>
      </c>
      <c r="M50" s="37">
        <v>255691.52677027092</v>
      </c>
    </row>
    <row r="51" spans="1:13" ht="15" customHeight="1" x14ac:dyDescent="0.2">
      <c r="A51" s="10">
        <v>44166</v>
      </c>
      <c r="B51" s="37">
        <v>208.14795999833316</v>
      </c>
      <c r="C51" s="37">
        <v>7.4522227594290484</v>
      </c>
      <c r="D51" s="37">
        <v>36.271641566345522</v>
      </c>
      <c r="E51" s="37">
        <v>235.08281183765229</v>
      </c>
      <c r="F51" s="37">
        <v>22.668550342927908</v>
      </c>
      <c r="G51" s="37">
        <v>218.2054559087349</v>
      </c>
      <c r="H51" s="37">
        <v>434.40849515071415</v>
      </c>
      <c r="I51" s="37">
        <v>284.82381084312505</v>
      </c>
      <c r="J51" s="37">
        <v>76.766862137532314</v>
      </c>
      <c r="K51" s="37">
        <v>2.8192227743754756</v>
      </c>
      <c r="L51" s="37">
        <v>1526.6470333191699</v>
      </c>
      <c r="M51" s="37">
        <v>285761.15032015549</v>
      </c>
    </row>
    <row r="52" spans="1:13" ht="15" customHeight="1" x14ac:dyDescent="0.2">
      <c r="A52" s="11">
        <v>44197</v>
      </c>
      <c r="B52" s="22">
        <v>201.376451800025</v>
      </c>
      <c r="C52" s="22">
        <v>7.0459211052654238</v>
      </c>
      <c r="D52" s="22">
        <v>40.296620426706028</v>
      </c>
      <c r="E52" s="22">
        <v>309.84430688332412</v>
      </c>
      <c r="F52" s="22">
        <v>33.366627933590841</v>
      </c>
      <c r="G52" s="22">
        <v>195.37338000375871</v>
      </c>
      <c r="H52" s="22">
        <v>421.10177620768985</v>
      </c>
      <c r="I52" s="22">
        <v>306.98026664139877</v>
      </c>
      <c r="J52" s="22">
        <v>75.030921094766285</v>
      </c>
      <c r="K52" s="22">
        <v>1.1739249541803929</v>
      </c>
      <c r="L52" s="22">
        <v>1591.5901970507055</v>
      </c>
      <c r="M52" s="22">
        <v>303184.8814985436</v>
      </c>
    </row>
    <row r="53" spans="1:13" ht="15" customHeight="1" x14ac:dyDescent="0.2">
      <c r="A53" s="11">
        <v>44228</v>
      </c>
      <c r="B53" s="22">
        <v>195.12917942045638</v>
      </c>
      <c r="C53" s="22">
        <v>5.0487870394941936</v>
      </c>
      <c r="D53" s="22">
        <v>45.806627326200044</v>
      </c>
      <c r="E53" s="22">
        <v>320.15937540673946</v>
      </c>
      <c r="F53" s="22">
        <v>34.304232987146158</v>
      </c>
      <c r="G53" s="22">
        <v>185.66911974503586</v>
      </c>
      <c r="H53" s="22">
        <v>399.21348547533967</v>
      </c>
      <c r="I53" s="22">
        <v>265.52283499212899</v>
      </c>
      <c r="J53" s="22">
        <v>71.408862529081532</v>
      </c>
      <c r="K53" s="22">
        <v>1.341467670414886</v>
      </c>
      <c r="L53" s="22">
        <v>1523.6039725920371</v>
      </c>
      <c r="M53" s="22">
        <v>295680.49034703255</v>
      </c>
    </row>
    <row r="54" spans="1:13" ht="15" customHeight="1" x14ac:dyDescent="0.2">
      <c r="A54" s="11">
        <v>44256</v>
      </c>
      <c r="B54" s="22">
        <v>240.55738217354332</v>
      </c>
      <c r="C54" s="22">
        <v>6.4308741791783532</v>
      </c>
      <c r="D54" s="22">
        <v>57.121376827890806</v>
      </c>
      <c r="E54" s="22">
        <v>347.15084038856247</v>
      </c>
      <c r="F54" s="22">
        <v>25.522354371581233</v>
      </c>
      <c r="G54" s="22">
        <v>263.0773770614141</v>
      </c>
      <c r="H54" s="22">
        <v>513.52606766083284</v>
      </c>
      <c r="I54" s="22">
        <v>389.89286464025992</v>
      </c>
      <c r="J54" s="22">
        <v>82.39295574479965</v>
      </c>
      <c r="K54" s="22">
        <v>0.25974448086208213</v>
      </c>
      <c r="L54" s="22">
        <v>1925.9318375289247</v>
      </c>
      <c r="M54" s="22">
        <v>379374.86818604136</v>
      </c>
    </row>
    <row r="55" spans="1:13" ht="15" customHeight="1" x14ac:dyDescent="0.2">
      <c r="A55" s="11">
        <v>44287</v>
      </c>
      <c r="B55" s="22">
        <v>169.82322824088376</v>
      </c>
      <c r="C55" s="22">
        <v>4.6775762347852075</v>
      </c>
      <c r="D55" s="22">
        <v>47.629593269274608</v>
      </c>
      <c r="E55" s="22">
        <v>413.17932321465588</v>
      </c>
      <c r="F55" s="22">
        <v>10.986022575890349</v>
      </c>
      <c r="G55" s="22">
        <v>239.03047247281219</v>
      </c>
      <c r="H55" s="22">
        <v>429.4983594920551</v>
      </c>
      <c r="I55" s="22">
        <v>314.46696454313832</v>
      </c>
      <c r="J55" s="22">
        <v>77.078932920683002</v>
      </c>
      <c r="K55" s="22">
        <v>0.60153920682591888</v>
      </c>
      <c r="L55" s="22">
        <v>1706.9720121710045</v>
      </c>
      <c r="M55" s="22">
        <v>336995.53555883624</v>
      </c>
    </row>
    <row r="56" spans="1:13" ht="15" customHeight="1" x14ac:dyDescent="0.2">
      <c r="A56" s="11">
        <v>44317</v>
      </c>
      <c r="B56" s="22">
        <v>161.88039728997262</v>
      </c>
      <c r="C56" s="22">
        <v>8.0429406662935587</v>
      </c>
      <c r="D56" s="22">
        <v>43.132466857429442</v>
      </c>
      <c r="E56" s="22">
        <v>330.5391716122582</v>
      </c>
      <c r="F56" s="22">
        <v>17.460049332438807</v>
      </c>
      <c r="G56" s="22">
        <v>216.37027387870913</v>
      </c>
      <c r="H56" s="22">
        <v>505.5485309495167</v>
      </c>
      <c r="I56" s="22">
        <v>252.9402205980719</v>
      </c>
      <c r="J56" s="22">
        <v>71.253246912213214</v>
      </c>
      <c r="K56" s="22">
        <v>0.26675599622171831</v>
      </c>
      <c r="L56" s="22">
        <v>1607.4340540931253</v>
      </c>
      <c r="M56" s="22">
        <v>320819.24345596018</v>
      </c>
    </row>
    <row r="57" spans="1:13" ht="15" customHeight="1" x14ac:dyDescent="0.2">
      <c r="A57" s="11">
        <v>44348</v>
      </c>
      <c r="B57" s="22">
        <v>221.82342930324432</v>
      </c>
      <c r="C57" s="22">
        <v>5.8885699951105046</v>
      </c>
      <c r="D57" s="22">
        <v>52.800510514418001</v>
      </c>
      <c r="E57" s="22">
        <v>66.288574213989762</v>
      </c>
      <c r="F57" s="22">
        <v>30.129048715293713</v>
      </c>
      <c r="G57" s="22">
        <v>278.2936874305924</v>
      </c>
      <c r="H57" s="22">
        <v>538.59073417006937</v>
      </c>
      <c r="I57" s="22">
        <v>381.81600760899642</v>
      </c>
      <c r="J57" s="22">
        <v>81.630134073280374</v>
      </c>
      <c r="K57" s="22">
        <v>1.9436527541713531</v>
      </c>
      <c r="L57" s="22">
        <v>1659.2043487791664</v>
      </c>
      <c r="M57" s="22">
        <v>331535.74207609281</v>
      </c>
    </row>
    <row r="58" spans="1:13" ht="15" customHeight="1" x14ac:dyDescent="0.2">
      <c r="A58" s="11">
        <v>44378</v>
      </c>
      <c r="B58" s="22">
        <v>149.17050636620667</v>
      </c>
      <c r="C58" s="22">
        <v>4.0982414097964881</v>
      </c>
      <c r="D58" s="22">
        <v>46.562590647561883</v>
      </c>
      <c r="E58" s="22">
        <v>256.04885292144627</v>
      </c>
      <c r="F58" s="22">
        <v>41.893438136633165</v>
      </c>
      <c r="G58" s="22">
        <v>252.87235808674765</v>
      </c>
      <c r="H58" s="22">
        <v>531.60354388837163</v>
      </c>
      <c r="I58" s="22">
        <v>347.45822893341165</v>
      </c>
      <c r="J58" s="22">
        <v>77.942156339353659</v>
      </c>
      <c r="K58" s="22">
        <v>2.4458248880632709</v>
      </c>
      <c r="L58" s="22">
        <v>1710.0957416175922</v>
      </c>
      <c r="M58" s="22">
        <v>341981.18419805454</v>
      </c>
    </row>
    <row r="59" spans="1:13" ht="15" customHeight="1" x14ac:dyDescent="0.2">
      <c r="A59" s="11">
        <v>44409</v>
      </c>
      <c r="B59" s="22">
        <v>194.24997214913975</v>
      </c>
      <c r="C59" s="22">
        <v>9.7931968587980336</v>
      </c>
      <c r="D59" s="22">
        <v>47.136129224200921</v>
      </c>
      <c r="E59" s="22">
        <v>352.67379002437951</v>
      </c>
      <c r="F59" s="22">
        <v>17.589710523625101</v>
      </c>
      <c r="G59" s="22">
        <v>229.67147735247249</v>
      </c>
      <c r="H59" s="22">
        <v>448.23999355599716</v>
      </c>
      <c r="I59" s="22">
        <v>303.98341852850297</v>
      </c>
      <c r="J59" s="22">
        <v>82.571847054686742</v>
      </c>
      <c r="K59" s="22">
        <v>0.75796868121187799</v>
      </c>
      <c r="L59" s="22">
        <v>1686.6675039530146</v>
      </c>
      <c r="M59" s="22">
        <v>338170.93120631558</v>
      </c>
    </row>
    <row r="60" spans="1:13" ht="15" customHeight="1" x14ac:dyDescent="0.2">
      <c r="A60" s="11">
        <v>44440</v>
      </c>
      <c r="B60" s="22">
        <v>151.26903020905431</v>
      </c>
      <c r="C60" s="22">
        <v>5.8358012493947591</v>
      </c>
      <c r="D60" s="22">
        <v>39.835405889919002</v>
      </c>
      <c r="E60" s="22">
        <v>200.94965040834555</v>
      </c>
      <c r="F60" s="22">
        <v>19.077960024912642</v>
      </c>
      <c r="G60" s="22">
        <v>236.41731696980679</v>
      </c>
      <c r="H60" s="22">
        <v>485.16226784259095</v>
      </c>
      <c r="I60" s="22">
        <v>309.5516694985489</v>
      </c>
      <c r="J60" s="22">
        <v>77.598755823429173</v>
      </c>
      <c r="K60" s="22">
        <v>0.33479945423187019</v>
      </c>
      <c r="L60" s="22">
        <v>1526.0326573702341</v>
      </c>
      <c r="M60" s="22">
        <v>308236.92712505267</v>
      </c>
    </row>
    <row r="61" spans="1:13" ht="15" customHeight="1" x14ac:dyDescent="0.2">
      <c r="A61" s="11">
        <v>44470</v>
      </c>
      <c r="B61" s="22">
        <v>184.53000708140985</v>
      </c>
      <c r="C61" s="22">
        <v>5.3652079244158948</v>
      </c>
      <c r="D61" s="22">
        <v>49.914955067360417</v>
      </c>
      <c r="E61" s="22">
        <v>384.98222224869573</v>
      </c>
      <c r="F61" s="22">
        <v>15.696309212944062</v>
      </c>
      <c r="G61" s="22">
        <v>192.16807189222331</v>
      </c>
      <c r="H61" s="22">
        <v>523.23128393817888</v>
      </c>
      <c r="I61" s="22">
        <v>256.98082552132155</v>
      </c>
      <c r="J61" s="22">
        <v>80.54446261100135</v>
      </c>
      <c r="K61" s="22">
        <v>0.86358000534255552</v>
      </c>
      <c r="L61" s="22">
        <v>1694.2769255028936</v>
      </c>
      <c r="M61" s="22">
        <v>340701.97752168431</v>
      </c>
    </row>
    <row r="62" spans="1:13" ht="15" customHeight="1" x14ac:dyDescent="0.2">
      <c r="A62" s="11">
        <v>44501</v>
      </c>
      <c r="B62" s="22">
        <v>175.17910692258226</v>
      </c>
      <c r="C62" s="22">
        <v>6.7516773705502171</v>
      </c>
      <c r="D62" s="22">
        <v>58.175414370087509</v>
      </c>
      <c r="E62" s="22">
        <v>318.55965933491927</v>
      </c>
      <c r="F62" s="22">
        <v>30.3949353407491</v>
      </c>
      <c r="G62" s="22">
        <v>213.70705474932404</v>
      </c>
      <c r="H62" s="22">
        <v>505.29087160690028</v>
      </c>
      <c r="I62" s="22">
        <v>361.47801816324534</v>
      </c>
      <c r="J62" s="22">
        <v>87.269213928391309</v>
      </c>
      <c r="K62" s="22">
        <v>7.8221919439288286</v>
      </c>
      <c r="L62" s="22">
        <v>1764.6281437306779</v>
      </c>
      <c r="M62" s="22">
        <v>356204.66076281597</v>
      </c>
    </row>
    <row r="63" spans="1:13" ht="15" customHeight="1" x14ac:dyDescent="0.2">
      <c r="A63" s="11">
        <v>44531</v>
      </c>
      <c r="B63" s="22">
        <v>230.20987227841252</v>
      </c>
      <c r="C63" s="22">
        <v>7.8308627798549146</v>
      </c>
      <c r="D63" s="22">
        <v>56.261808544233098</v>
      </c>
      <c r="E63" s="22">
        <v>442.48383306964774</v>
      </c>
      <c r="F63" s="22">
        <v>8.7668417171882673</v>
      </c>
      <c r="G63" s="22">
        <v>345.22455856285279</v>
      </c>
      <c r="H63" s="22">
        <v>675.75900302881337</v>
      </c>
      <c r="I63" s="22">
        <v>385.17008633111385</v>
      </c>
      <c r="J63" s="22">
        <v>88.594430930640158</v>
      </c>
      <c r="K63" s="22">
        <v>0.67844338427039474</v>
      </c>
      <c r="L63" s="22">
        <v>2240.9797406270268</v>
      </c>
      <c r="M63" s="22">
        <v>451331.07878254255</v>
      </c>
    </row>
    <row r="64" spans="1:13" ht="15" customHeight="1" x14ac:dyDescent="0.2">
      <c r="A64" s="10">
        <v>44562</v>
      </c>
      <c r="B64" s="37">
        <v>248.68859486550249</v>
      </c>
      <c r="C64" s="37">
        <v>7.7916170028794127</v>
      </c>
      <c r="D64" s="37">
        <v>49.047733945450503</v>
      </c>
      <c r="E64" s="37">
        <v>430.30722870258057</v>
      </c>
      <c r="F64" s="37">
        <v>7.8358401347729902</v>
      </c>
      <c r="G64" s="37">
        <v>246.82018077608635</v>
      </c>
      <c r="H64" s="37">
        <v>587.51765378252367</v>
      </c>
      <c r="I64" s="37">
        <v>294.47413920155736</v>
      </c>
      <c r="J64" s="37">
        <v>86.530275378267262</v>
      </c>
      <c r="K64" s="37">
        <v>0.37037150715605094</v>
      </c>
      <c r="L64" s="37">
        <v>1959.3836352967767</v>
      </c>
      <c r="M64" s="37">
        <v>394746.63626997452</v>
      </c>
    </row>
    <row r="65" spans="1:13" ht="15" customHeight="1" x14ac:dyDescent="0.2">
      <c r="A65" s="10">
        <v>44593</v>
      </c>
      <c r="B65" s="37">
        <v>195.57633176891412</v>
      </c>
      <c r="C65" s="37">
        <v>9.4810298746580948</v>
      </c>
      <c r="D65" s="37">
        <v>46.615617742378419</v>
      </c>
      <c r="E65" s="37">
        <v>462.15223002591017</v>
      </c>
      <c r="F65" s="37">
        <v>9.2176585263329063</v>
      </c>
      <c r="G65" s="37">
        <v>206.94905300585617</v>
      </c>
      <c r="H65" s="37">
        <v>582.95232949267427</v>
      </c>
      <c r="I65" s="37">
        <v>272.75911859646413</v>
      </c>
      <c r="J65" s="37">
        <v>86.593447621200369</v>
      </c>
      <c r="K65" s="37">
        <v>0.65246965202800311</v>
      </c>
      <c r="L65" s="37">
        <v>1872.9492863064165</v>
      </c>
      <c r="M65" s="37">
        <v>377841.6718121685</v>
      </c>
    </row>
    <row r="66" spans="1:13" ht="15" customHeight="1" x14ac:dyDescent="0.2">
      <c r="A66" s="10">
        <v>44621</v>
      </c>
      <c r="B66" s="37">
        <v>206.57555614149823</v>
      </c>
      <c r="C66" s="37">
        <v>8.1506880626532165</v>
      </c>
      <c r="D66" s="37">
        <v>45.448278400879417</v>
      </c>
      <c r="E66" s="37">
        <v>519.84657929572995</v>
      </c>
      <c r="F66" s="37">
        <v>19.816988238449056</v>
      </c>
      <c r="G66" s="37">
        <v>205.92046129110065</v>
      </c>
      <c r="H66" s="37">
        <v>456.50322966317333</v>
      </c>
      <c r="I66" s="37">
        <v>282.74263353662377</v>
      </c>
      <c r="J66" s="37">
        <v>72.284527350775832</v>
      </c>
      <c r="K66" s="37">
        <v>1.6233701766918784</v>
      </c>
      <c r="L66" s="37">
        <v>1818.9123121575753</v>
      </c>
      <c r="M66" s="37">
        <v>465292.50263963622</v>
      </c>
    </row>
    <row r="67" spans="1:13" ht="15" customHeight="1" x14ac:dyDescent="0.2">
      <c r="A67" s="10">
        <v>44652</v>
      </c>
      <c r="B67" s="37">
        <v>201.15965569790171</v>
      </c>
      <c r="C67" s="37">
        <v>6.8467640567692749</v>
      </c>
      <c r="D67" s="37">
        <v>45.707169428162501</v>
      </c>
      <c r="E67" s="37">
        <v>510.1150285307682</v>
      </c>
      <c r="F67" s="37">
        <v>8.236020788228414</v>
      </c>
      <c r="G67" s="37">
        <v>205.67327288908979</v>
      </c>
      <c r="H67" s="37">
        <v>450.09604398504382</v>
      </c>
      <c r="I67" s="37">
        <v>201.95126733813257</v>
      </c>
      <c r="J67" s="37">
        <v>68.874245565056896</v>
      </c>
      <c r="K67" s="37">
        <v>0.30251162596209724</v>
      </c>
      <c r="L67" s="37">
        <v>1698.9619799051154</v>
      </c>
      <c r="M67" s="37">
        <v>542717.09444568201</v>
      </c>
    </row>
    <row r="68" spans="1:13" ht="15" customHeight="1" x14ac:dyDescent="0.2">
      <c r="A68" s="10">
        <v>44682</v>
      </c>
      <c r="B68" s="37">
        <v>154.43026866960682</v>
      </c>
      <c r="C68" s="37">
        <v>6.2905182941948361</v>
      </c>
      <c r="D68" s="37">
        <v>32.637802857867214</v>
      </c>
      <c r="E68" s="37">
        <v>461.42302842473811</v>
      </c>
      <c r="F68" s="37">
        <v>7.1191480920156351</v>
      </c>
      <c r="G68" s="37">
        <v>158.46978394936187</v>
      </c>
      <c r="H68" s="37">
        <v>401.56619364571696</v>
      </c>
      <c r="I68" s="37">
        <v>172.00524949086056</v>
      </c>
      <c r="J68" s="37">
        <v>57.213284176419954</v>
      </c>
      <c r="K68" s="37">
        <v>0.30886897791810952</v>
      </c>
      <c r="L68" s="37">
        <v>1451.4641465786999</v>
      </c>
      <c r="M68" s="37">
        <v>520987.08930881199</v>
      </c>
    </row>
    <row r="69" spans="1:13" ht="15" customHeight="1" x14ac:dyDescent="0.2">
      <c r="A69" s="10">
        <v>44713</v>
      </c>
      <c r="B69" s="37">
        <v>119.36564107596321</v>
      </c>
      <c r="C69" s="37">
        <v>10.475603548495627</v>
      </c>
      <c r="D69" s="37">
        <v>34.932270513109486</v>
      </c>
      <c r="E69" s="37">
        <v>200.09368996748859</v>
      </c>
      <c r="F69" s="37">
        <v>4.7515473730495099</v>
      </c>
      <c r="G69" s="37">
        <v>160.78395978490065</v>
      </c>
      <c r="H69" s="37">
        <v>449.9287763808187</v>
      </c>
      <c r="I69" s="37">
        <v>176.52351243383629</v>
      </c>
      <c r="J69" s="37">
        <v>69.428817122784963</v>
      </c>
      <c r="K69" s="37">
        <v>0.1914356408999538</v>
      </c>
      <c r="L69" s="37">
        <v>1226.475253841347</v>
      </c>
      <c r="M69" s="37">
        <v>441828.8795745176</v>
      </c>
    </row>
    <row r="70" spans="1:13" ht="15" customHeight="1" x14ac:dyDescent="0.2">
      <c r="A70" s="10">
        <v>44743</v>
      </c>
      <c r="B70" s="37">
        <v>130.00406754021645</v>
      </c>
      <c r="C70" s="37">
        <v>9.7405552710597991</v>
      </c>
      <c r="D70" s="37">
        <v>45.579102976564577</v>
      </c>
      <c r="E70" s="37">
        <v>345.37529701221263</v>
      </c>
      <c r="F70" s="37">
        <v>2.3824008375259513</v>
      </c>
      <c r="G70" s="37">
        <v>178.82821916555548</v>
      </c>
      <c r="H70" s="37">
        <v>357.75388322853172</v>
      </c>
      <c r="I70" s="37">
        <v>161.0945823842444</v>
      </c>
      <c r="J70" s="37">
        <v>55.854335269197641</v>
      </c>
      <c r="K70" s="37">
        <v>0.23144052808129345</v>
      </c>
      <c r="L70" s="37">
        <v>1286.84388421319</v>
      </c>
      <c r="M70" s="37">
        <v>464386.440921336</v>
      </c>
    </row>
    <row r="71" spans="1:13" ht="15" customHeight="1" x14ac:dyDescent="0.2">
      <c r="A71" s="10">
        <v>44774</v>
      </c>
      <c r="B71" s="37">
        <v>190.83741050304116</v>
      </c>
      <c r="C71" s="37">
        <v>6.5515000652357642</v>
      </c>
      <c r="D71" s="37">
        <v>47.02265789894301</v>
      </c>
      <c r="E71" s="37">
        <v>388.57338817978615</v>
      </c>
      <c r="F71" s="37">
        <v>2.6880478716935787</v>
      </c>
      <c r="G71" s="37">
        <v>207.56599883434353</v>
      </c>
      <c r="H71" s="37">
        <v>420.80816064784796</v>
      </c>
      <c r="I71" s="37">
        <v>152.28379157741182</v>
      </c>
      <c r="J71" s="37">
        <v>63.993642388343659</v>
      </c>
      <c r="K71" s="37">
        <v>5.545638341644235</v>
      </c>
      <c r="L71" s="37">
        <v>1485.8702363082909</v>
      </c>
      <c r="M71" s="37">
        <v>536396.62932789128</v>
      </c>
    </row>
    <row r="72" spans="1:13" ht="15" customHeight="1" x14ac:dyDescent="0.2">
      <c r="A72" s="10">
        <v>44805</v>
      </c>
      <c r="B72" s="37">
        <v>155.36291467636693</v>
      </c>
      <c r="C72" s="37">
        <v>10.68079623028258</v>
      </c>
      <c r="D72" s="37">
        <v>34.812251032472311</v>
      </c>
      <c r="E72" s="37">
        <v>376.43356779111025</v>
      </c>
      <c r="F72" s="37">
        <v>3.1591980492440861</v>
      </c>
      <c r="G72" s="37">
        <v>171.81867611469204</v>
      </c>
      <c r="H72" s="37">
        <v>359.33229378010975</v>
      </c>
      <c r="I72" s="37">
        <v>119.29114849057322</v>
      </c>
      <c r="J72" s="37">
        <v>52.978397370624307</v>
      </c>
      <c r="K72" s="37">
        <v>0.49389528766141666</v>
      </c>
      <c r="L72" s="37">
        <v>1284.363138823137</v>
      </c>
      <c r="M72" s="37">
        <v>465430.85359088937</v>
      </c>
    </row>
    <row r="73" spans="1:13" ht="15" customHeight="1" x14ac:dyDescent="0.2">
      <c r="A73" s="10">
        <v>44835</v>
      </c>
      <c r="B73" s="37">
        <v>163.08281524577831</v>
      </c>
      <c r="C73" s="37">
        <v>11.518829081995129</v>
      </c>
      <c r="D73" s="37">
        <v>30.798270175498502</v>
      </c>
      <c r="E73" s="37">
        <v>396.53663048516808</v>
      </c>
      <c r="F73" s="37">
        <v>4.979243603992197</v>
      </c>
      <c r="G73" s="37">
        <v>175.53050715354934</v>
      </c>
      <c r="H73" s="37">
        <v>357.78579092183799</v>
      </c>
      <c r="I73" s="37">
        <v>140.79348887672367</v>
      </c>
      <c r="J73" s="37">
        <v>54.459114243653559</v>
      </c>
      <c r="K73" s="37">
        <v>0.18033608959262892</v>
      </c>
      <c r="L73" s="37">
        <v>1335.6650258777895</v>
      </c>
      <c r="M73" s="37">
        <v>485044.61708347779</v>
      </c>
    </row>
    <row r="74" spans="1:13" ht="15" customHeight="1" x14ac:dyDescent="0.2">
      <c r="A74" s="10">
        <v>44866</v>
      </c>
      <c r="B74" s="37">
        <v>208.56823614864305</v>
      </c>
      <c r="C74" s="37">
        <v>5.6364918738339096</v>
      </c>
      <c r="D74" s="37">
        <v>29.667590694948181</v>
      </c>
      <c r="E74" s="37">
        <v>422.37109625275895</v>
      </c>
      <c r="F74" s="37">
        <v>7.2050416214907234</v>
      </c>
      <c r="G74" s="37">
        <v>194.69925435477748</v>
      </c>
      <c r="H74" s="37">
        <v>358.94352942536199</v>
      </c>
      <c r="I74" s="37">
        <v>158.02316376990262</v>
      </c>
      <c r="J74" s="37">
        <v>59.207306628617971</v>
      </c>
      <c r="K74" s="37">
        <v>0.24243964923925887</v>
      </c>
      <c r="L74" s="37">
        <v>1444.5641504195742</v>
      </c>
      <c r="M74" s="37">
        <v>524945.94487757073</v>
      </c>
    </row>
    <row r="75" spans="1:13" ht="15" customHeight="1" x14ac:dyDescent="0.2">
      <c r="A75" s="10">
        <v>44896</v>
      </c>
      <c r="B75" s="37">
        <v>188.52114332816029</v>
      </c>
      <c r="C75" s="37">
        <v>7.8339611146662733</v>
      </c>
      <c r="D75" s="37">
        <v>23.070500097476302</v>
      </c>
      <c r="E75" s="37">
        <v>383.54902705441822</v>
      </c>
      <c r="F75" s="37">
        <v>2.3860522070947328</v>
      </c>
      <c r="G75" s="37">
        <v>279.10628316534729</v>
      </c>
      <c r="H75" s="37">
        <v>330.8658581989684</v>
      </c>
      <c r="I75" s="37">
        <v>146.19818971916914</v>
      </c>
      <c r="J75" s="37">
        <v>63.833366845171291</v>
      </c>
      <c r="K75" s="37">
        <v>0.19897259924528043</v>
      </c>
      <c r="L75" s="37">
        <v>1425.5633543297174</v>
      </c>
      <c r="M75" s="37">
        <v>517715.0006878227</v>
      </c>
    </row>
    <row r="76" spans="1:13" ht="15" customHeight="1" x14ac:dyDescent="0.2">
      <c r="A76" s="11">
        <v>44927</v>
      </c>
      <c r="B76" s="22">
        <v>145.19834078043655</v>
      </c>
      <c r="C76" s="22">
        <v>11.620239165416745</v>
      </c>
      <c r="D76" s="22">
        <v>25.779364507420613</v>
      </c>
      <c r="E76" s="22">
        <v>516.50393948611418</v>
      </c>
      <c r="F76" s="22">
        <v>4.9537837768484767</v>
      </c>
      <c r="G76" s="22">
        <v>155.59240518532499</v>
      </c>
      <c r="H76" s="22">
        <v>355.61093223715505</v>
      </c>
      <c r="I76" s="22">
        <v>145.92007417303768</v>
      </c>
      <c r="J76" s="22">
        <v>61.911424697894283</v>
      </c>
      <c r="K76" s="22">
        <v>0.27896025581185313</v>
      </c>
      <c r="L76" s="22">
        <v>1423.3694642654602</v>
      </c>
      <c r="M76" s="22">
        <v>515861.54667358805</v>
      </c>
    </row>
    <row r="77" spans="1:13" ht="15" customHeight="1" x14ac:dyDescent="0.2">
      <c r="A77" s="11">
        <v>44958</v>
      </c>
      <c r="B77" s="22">
        <v>168.23305185197054</v>
      </c>
      <c r="C77" s="22">
        <v>5.0719041424224667</v>
      </c>
      <c r="D77" s="22">
        <v>18.20792101202122</v>
      </c>
      <c r="E77" s="22">
        <v>204.27101937918337</v>
      </c>
      <c r="F77" s="22">
        <v>6.2677474980426906</v>
      </c>
      <c r="G77" s="22">
        <v>128.17642638502048</v>
      </c>
      <c r="H77" s="22">
        <v>299.89439741684959</v>
      </c>
      <c r="I77" s="22">
        <v>141.41971524126146</v>
      </c>
      <c r="J77" s="22">
        <v>49.154516189720553</v>
      </c>
      <c r="K77" s="22">
        <v>0.3469145742717501</v>
      </c>
      <c r="L77" s="22">
        <v>1021.0436136907641</v>
      </c>
      <c r="M77" s="22">
        <v>369593.89573549625</v>
      </c>
    </row>
    <row r="78" spans="1:13" ht="15" customHeight="1" x14ac:dyDescent="0.2">
      <c r="A78" s="11">
        <v>44986</v>
      </c>
      <c r="B78" s="22">
        <v>210.42528609658694</v>
      </c>
      <c r="C78" s="22">
        <v>8.9580336047887688</v>
      </c>
      <c r="D78" s="22">
        <v>24.199150884038623</v>
      </c>
      <c r="E78" s="22">
        <v>391.04702912114834</v>
      </c>
      <c r="F78" s="22">
        <v>16.58134666217866</v>
      </c>
      <c r="G78" s="22">
        <v>205.7059494541096</v>
      </c>
      <c r="H78" s="22">
        <v>359.73102453357797</v>
      </c>
      <c r="I78" s="22">
        <v>168.60314314557067</v>
      </c>
      <c r="J78" s="22">
        <v>60.528057136457271</v>
      </c>
      <c r="K78" s="22">
        <v>3.7633813718850888</v>
      </c>
      <c r="L78" s="22">
        <v>1449.5424020103417</v>
      </c>
      <c r="M78" s="22">
        <v>477582.03977850906</v>
      </c>
    </row>
    <row r="79" spans="1:13" ht="15" customHeight="1" x14ac:dyDescent="0.2">
      <c r="A79" s="11">
        <v>45017</v>
      </c>
      <c r="B79" s="22">
        <v>164.63808456047516</v>
      </c>
      <c r="C79" s="22">
        <v>13.266875784787963</v>
      </c>
      <c r="D79" s="22">
        <v>23.208395352064127</v>
      </c>
      <c r="E79" s="22">
        <v>523.26796623903283</v>
      </c>
      <c r="F79" s="22">
        <v>9.8598647426891048</v>
      </c>
      <c r="G79" s="22">
        <v>193.7733126514353</v>
      </c>
      <c r="H79" s="22">
        <v>303.51718022962785</v>
      </c>
      <c r="I79" s="22">
        <v>139.89793036869634</v>
      </c>
      <c r="J79" s="22">
        <v>58.962574863638231</v>
      </c>
      <c r="K79" s="22">
        <v>0.80462376670493541</v>
      </c>
      <c r="L79" s="22">
        <v>1431.1968085591518</v>
      </c>
      <c r="M79" s="22">
        <v>460021.57547304023</v>
      </c>
    </row>
    <row r="80" spans="1:13" ht="15" customHeight="1" x14ac:dyDescent="0.2">
      <c r="A80" s="11">
        <v>45047</v>
      </c>
      <c r="B80" s="22">
        <v>240.02701185083114</v>
      </c>
      <c r="C80" s="22">
        <v>9.8343697960981267</v>
      </c>
      <c r="D80" s="22">
        <v>28.743375105871444</v>
      </c>
      <c r="E80" s="22">
        <v>429.75643746082034</v>
      </c>
      <c r="F80" s="22">
        <v>18.616860295476037</v>
      </c>
      <c r="G80" s="22">
        <v>164.33497559516115</v>
      </c>
      <c r="H80" s="22">
        <v>371.34566340892673</v>
      </c>
      <c r="I80" s="22">
        <v>145.78702556293624</v>
      </c>
      <c r="J80" s="22">
        <v>56.391983080558376</v>
      </c>
      <c r="K80" s="22">
        <v>1.4269582365802762</v>
      </c>
      <c r="L80" s="22">
        <v>1466.2646603932599</v>
      </c>
      <c r="M80" s="22">
        <v>454782.36549974902</v>
      </c>
    </row>
    <row r="81" spans="1:13" ht="15" customHeight="1" x14ac:dyDescent="0.2">
      <c r="A81" s="11">
        <v>45078</v>
      </c>
      <c r="B81" s="22">
        <v>191.28688174580731</v>
      </c>
      <c r="C81" s="22">
        <v>8.7711650322046122</v>
      </c>
      <c r="D81" s="22">
        <v>25.775265878911725</v>
      </c>
      <c r="E81" s="22">
        <v>289.99983259206499</v>
      </c>
      <c r="F81" s="22">
        <v>25.577870791193821</v>
      </c>
      <c r="G81" s="22">
        <v>185.51567727938414</v>
      </c>
      <c r="H81" s="22">
        <v>402.41609153120282</v>
      </c>
      <c r="I81" s="22">
        <v>180.12100223991669</v>
      </c>
      <c r="J81" s="22">
        <v>58.339837088214473</v>
      </c>
      <c r="K81" s="22">
        <v>1.2827223153983596</v>
      </c>
      <c r="L81" s="22">
        <v>1369.0863464942988</v>
      </c>
      <c r="M81" s="22">
        <v>412452.5956484882</v>
      </c>
    </row>
    <row r="82" spans="1:13" ht="15" customHeight="1" x14ac:dyDescent="0.2">
      <c r="A82" s="11">
        <v>45108</v>
      </c>
      <c r="B82" s="22">
        <v>182.13299477935908</v>
      </c>
      <c r="C82" s="22">
        <v>9.3138611476765814</v>
      </c>
      <c r="D82" s="22">
        <v>31.235993598928619</v>
      </c>
      <c r="E82" s="22">
        <v>381.01544671805578</v>
      </c>
      <c r="F82" s="22">
        <v>15.784110400472548</v>
      </c>
      <c r="G82" s="22">
        <v>173.8899250337389</v>
      </c>
      <c r="H82" s="22">
        <v>343.74273519114115</v>
      </c>
      <c r="I82" s="22">
        <v>190.28380982447632</v>
      </c>
      <c r="J82" s="22">
        <v>59.235823734701611</v>
      </c>
      <c r="K82" s="22">
        <v>0.92158112457627794</v>
      </c>
      <c r="L82" s="22">
        <v>1387.5562815531268</v>
      </c>
      <c r="M82" s="22">
        <v>443033.26140398235</v>
      </c>
    </row>
    <row r="83" spans="1:13" ht="15" customHeight="1" x14ac:dyDescent="0.2">
      <c r="A83" s="11">
        <v>45139</v>
      </c>
      <c r="B83" s="22">
        <v>165.16652354463821</v>
      </c>
      <c r="C83" s="22">
        <v>11.147896061402516</v>
      </c>
      <c r="D83" s="22">
        <v>33.294452780116941</v>
      </c>
      <c r="E83" s="22">
        <v>343.68190256310618</v>
      </c>
      <c r="F83" s="22">
        <v>18.068730898784864</v>
      </c>
      <c r="G83" s="22">
        <v>195.8013387020938</v>
      </c>
      <c r="H83" s="22">
        <v>341.51457702119927</v>
      </c>
      <c r="I83" s="22">
        <v>253.71831597094811</v>
      </c>
      <c r="J83" s="22">
        <v>61.809181867823639</v>
      </c>
      <c r="K83" s="22">
        <v>1.8187765279910764</v>
      </c>
      <c r="L83" s="22">
        <v>1426.0216959381046</v>
      </c>
      <c r="M83" s="22">
        <v>458574.92330167035</v>
      </c>
    </row>
    <row r="84" spans="1:13" ht="15" customHeight="1" x14ac:dyDescent="0.2">
      <c r="A84" s="11">
        <v>45170</v>
      </c>
      <c r="B84" s="22">
        <v>181.94246669989991</v>
      </c>
      <c r="C84" s="22">
        <v>11.224709276873606</v>
      </c>
      <c r="D84" s="22">
        <v>28.455211468376952</v>
      </c>
      <c r="E84" s="22">
        <v>396.74237673163373</v>
      </c>
      <c r="F84" s="22">
        <v>9.055794903666488</v>
      </c>
      <c r="G84" s="22">
        <v>168.06866611849389</v>
      </c>
      <c r="H84" s="22">
        <v>332.27421324456822</v>
      </c>
      <c r="I84" s="22">
        <v>156.01906355406169</v>
      </c>
      <c r="J84" s="22">
        <v>64.581910717654992</v>
      </c>
      <c r="K84" s="22">
        <v>0.91753110719650977</v>
      </c>
      <c r="L84" s="22">
        <v>1349.281943822426</v>
      </c>
      <c r="M84" s="22">
        <v>435506.78851020383</v>
      </c>
    </row>
    <row r="85" spans="1:13" ht="15" customHeight="1" x14ac:dyDescent="0.2">
      <c r="A85" s="11">
        <v>45200</v>
      </c>
      <c r="B85" s="22">
        <v>191.01110640121971</v>
      </c>
      <c r="C85" s="22">
        <v>12.254712726222344</v>
      </c>
      <c r="D85" s="22">
        <v>28.53333789917356</v>
      </c>
      <c r="E85" s="22">
        <v>495.31221402023846</v>
      </c>
      <c r="F85" s="22">
        <v>7.223625759591882</v>
      </c>
      <c r="G85" s="22">
        <v>185.40300679363767</v>
      </c>
      <c r="H85" s="22">
        <v>419.71079897995355</v>
      </c>
      <c r="I85" s="22">
        <v>197.03932434084533</v>
      </c>
      <c r="J85" s="22">
        <v>71.137080611202578</v>
      </c>
      <c r="K85" s="22">
        <v>2.8606440240803295</v>
      </c>
      <c r="L85" s="22">
        <v>1610.4858515561652</v>
      </c>
      <c r="M85" s="22">
        <v>522973.55372158915</v>
      </c>
    </row>
    <row r="86" spans="1:13" ht="15" customHeight="1" x14ac:dyDescent="0.2">
      <c r="A86" s="11">
        <v>45231</v>
      </c>
      <c r="B86" s="22">
        <v>166.537369249048</v>
      </c>
      <c r="C86" s="22">
        <v>9.2240786230007608</v>
      </c>
      <c r="D86" s="22">
        <v>31.358806324447833</v>
      </c>
      <c r="E86" s="22">
        <v>316.87854642730053</v>
      </c>
      <c r="F86" s="22">
        <v>12.824114580350342</v>
      </c>
      <c r="G86" s="22">
        <v>202.35239995125664</v>
      </c>
      <c r="H86" s="22">
        <v>379.86611886062451</v>
      </c>
      <c r="I86" s="22">
        <v>201.84835107996952</v>
      </c>
      <c r="J86" s="22">
        <v>66.400674297029695</v>
      </c>
      <c r="K86" s="22">
        <v>1.4147476832938537</v>
      </c>
      <c r="L86" s="22">
        <v>1388.7052070763218</v>
      </c>
      <c r="M86" s="22">
        <v>455842.48422280262</v>
      </c>
    </row>
    <row r="87" spans="1:13" ht="15" customHeight="1" x14ac:dyDescent="0.2">
      <c r="A87" s="11">
        <v>45261</v>
      </c>
      <c r="B87" s="22">
        <v>179.45123104966822</v>
      </c>
      <c r="C87" s="22">
        <v>11.339719160941208</v>
      </c>
      <c r="D87" s="22">
        <v>30.037295718980978</v>
      </c>
      <c r="E87" s="22">
        <v>414.16444477456156</v>
      </c>
      <c r="F87" s="22">
        <v>18.127838507594515</v>
      </c>
      <c r="G87" s="22">
        <v>191.90095686417095</v>
      </c>
      <c r="H87" s="22">
        <v>358.14770301243516</v>
      </c>
      <c r="I87" s="22">
        <v>217.27749903517238</v>
      </c>
      <c r="J87" s="22">
        <v>67.66548807424077</v>
      </c>
      <c r="K87" s="22">
        <v>0.46390303476596273</v>
      </c>
      <c r="L87" s="22">
        <v>1488.5760792325318</v>
      </c>
      <c r="M87" s="22">
        <v>486380.77185341966</v>
      </c>
    </row>
    <row r="88" spans="1:13" ht="15" customHeight="1" x14ac:dyDescent="0.2">
      <c r="A88" s="10" t="s">
        <v>347</v>
      </c>
      <c r="B88" s="37">
        <v>180.76766045210863</v>
      </c>
      <c r="C88" s="37">
        <v>7.3099750444156477</v>
      </c>
      <c r="D88" s="37">
        <v>35.534599586637135</v>
      </c>
      <c r="E88" s="37">
        <v>417.45127260326137</v>
      </c>
      <c r="F88" s="37">
        <v>16.914926325759581</v>
      </c>
      <c r="G88" s="37">
        <v>178.01781739984918</v>
      </c>
      <c r="H88" s="37">
        <v>408.86103596655482</v>
      </c>
      <c r="I88" s="37">
        <v>196.84934093593876</v>
      </c>
      <c r="J88" s="37">
        <v>69.515806219498302</v>
      </c>
      <c r="K88" s="37">
        <v>0.51586047058020257</v>
      </c>
      <c r="L88" s="37">
        <v>1511.7382950046035</v>
      </c>
      <c r="M88" s="37">
        <v>485541.81174160552</v>
      </c>
    </row>
    <row r="89" spans="1:13" ht="15" customHeight="1" x14ac:dyDescent="0.2">
      <c r="A89" s="10" t="s">
        <v>348</v>
      </c>
      <c r="B89" s="37">
        <v>146.4972444471033</v>
      </c>
      <c r="C89" s="37">
        <v>6.1050801026680839</v>
      </c>
      <c r="D89" s="37">
        <v>29.41422575845359</v>
      </c>
      <c r="E89" s="37">
        <v>290.47010754763193</v>
      </c>
      <c r="F89" s="37">
        <v>9.624485794201231</v>
      </c>
      <c r="G89" s="37">
        <v>166.80173012293488</v>
      </c>
      <c r="H89" s="37">
        <v>412.57195288503658</v>
      </c>
      <c r="I89" s="37">
        <v>243.35575596143198</v>
      </c>
      <c r="J89" s="37">
        <v>73.174656089751068</v>
      </c>
      <c r="K89" s="37">
        <v>0.40442398459823481</v>
      </c>
      <c r="L89" s="37">
        <v>1378.419662693811</v>
      </c>
      <c r="M89" s="37">
        <v>430866.55600679765</v>
      </c>
    </row>
    <row r="90" spans="1:13" ht="15" customHeight="1" x14ac:dyDescent="0.2">
      <c r="A90" s="10" t="s">
        <v>349</v>
      </c>
      <c r="B90" s="37">
        <v>174.65873197454729</v>
      </c>
      <c r="C90" s="37">
        <v>9.2926183207105826</v>
      </c>
      <c r="D90" s="37">
        <v>30.500920825086283</v>
      </c>
      <c r="E90" s="37">
        <v>462.12380596454892</v>
      </c>
      <c r="F90" s="37">
        <v>21.767446426643549</v>
      </c>
      <c r="G90" s="37">
        <v>170.17933079024422</v>
      </c>
      <c r="H90" s="37">
        <v>381.5144005921515</v>
      </c>
      <c r="I90" s="37">
        <v>193.26919287128067</v>
      </c>
      <c r="J90" s="37">
        <v>64.016126514321229</v>
      </c>
      <c r="K90" s="37">
        <v>0.37710917373446662</v>
      </c>
      <c r="L90" s="37">
        <v>1507.6996834532688</v>
      </c>
      <c r="M90" s="37">
        <v>460851.02374274336</v>
      </c>
    </row>
    <row r="91" spans="1:13" ht="15" customHeight="1" x14ac:dyDescent="0.2">
      <c r="A91" s="10" t="s">
        <v>350</v>
      </c>
      <c r="B91" s="37">
        <v>191.98560142300263</v>
      </c>
      <c r="C91" s="37">
        <v>11.240846186935414</v>
      </c>
      <c r="D91" s="37">
        <v>32.868760523566642</v>
      </c>
      <c r="E91" s="37">
        <v>359.64288446773963</v>
      </c>
      <c r="F91" s="37">
        <v>21.093117012976951</v>
      </c>
      <c r="G91" s="37">
        <v>178.18790787086641</v>
      </c>
      <c r="H91" s="37">
        <v>389.51345414116207</v>
      </c>
      <c r="I91" s="37">
        <v>191.06054396252529</v>
      </c>
      <c r="J91" s="37">
        <v>58.137565252124752</v>
      </c>
      <c r="K91" s="37">
        <v>1.5153797258365653</v>
      </c>
      <c r="L91" s="37">
        <v>1435.2460605667361</v>
      </c>
      <c r="M91" s="37">
        <v>429745.96824228606</v>
      </c>
    </row>
    <row r="92" spans="1:13" ht="15" customHeight="1" x14ac:dyDescent="0.2">
      <c r="A92" s="10" t="s">
        <v>351</v>
      </c>
      <c r="B92" s="37">
        <v>190.65244575853302</v>
      </c>
      <c r="C92" s="37">
        <v>7.7033801035261824</v>
      </c>
      <c r="D92" s="37">
        <v>37.341954381210336</v>
      </c>
      <c r="E92" s="37">
        <v>314.02657776449689</v>
      </c>
      <c r="F92" s="37">
        <v>13.460132472539334</v>
      </c>
      <c r="G92" s="37">
        <v>180.47931112344224</v>
      </c>
      <c r="H92" s="37">
        <v>400.254313360737</v>
      </c>
      <c r="I92" s="37">
        <v>198.82178557473785</v>
      </c>
      <c r="J92" s="37">
        <v>61.62755427817131</v>
      </c>
      <c r="K92" s="37">
        <v>0.22815454421432749</v>
      </c>
      <c r="L92" s="37">
        <v>1404.5956093616085</v>
      </c>
      <c r="M92" s="37">
        <v>420946.48873948201</v>
      </c>
    </row>
    <row r="93" spans="1:13" ht="15" customHeight="1" x14ac:dyDescent="0.2">
      <c r="A93" s="10" t="s">
        <v>352</v>
      </c>
      <c r="B93" s="37">
        <v>167.33499333305028</v>
      </c>
      <c r="C93" s="37">
        <v>13.629497880433334</v>
      </c>
      <c r="D93" s="37">
        <v>32.292522717166307</v>
      </c>
      <c r="E93" s="37">
        <v>365.44895807464854</v>
      </c>
      <c r="F93" s="37">
        <v>15.589771766825613</v>
      </c>
      <c r="G93" s="37">
        <v>153.2825441547588</v>
      </c>
      <c r="H93" s="37">
        <v>414.52758725212067</v>
      </c>
      <c r="I93" s="37">
        <v>223.80242096348368</v>
      </c>
      <c r="J93" s="37">
        <v>60.537518963201265</v>
      </c>
      <c r="K93" s="37">
        <v>0.17539414657941538</v>
      </c>
      <c r="L93" s="37">
        <v>1446.621209252268</v>
      </c>
      <c r="M93" s="37">
        <v>439501.02748747094</v>
      </c>
    </row>
    <row r="94" spans="1:13" ht="15" customHeight="1" x14ac:dyDescent="0.2">
      <c r="A94" s="10" t="s">
        <v>353</v>
      </c>
      <c r="B94" s="37">
        <v>220.64308944451778</v>
      </c>
      <c r="C94" s="37">
        <v>9.9351922283649472</v>
      </c>
      <c r="D94" s="37">
        <v>46.984188099720861</v>
      </c>
      <c r="E94" s="37">
        <v>336.91581717751518</v>
      </c>
      <c r="F94" s="37">
        <v>25.542777035771156</v>
      </c>
      <c r="G94" s="37">
        <v>223.86430714596818</v>
      </c>
      <c r="H94" s="37">
        <v>503.46809252100127</v>
      </c>
      <c r="I94" s="37">
        <v>285.62319097670195</v>
      </c>
      <c r="J94" s="37">
        <v>78.230593618099277</v>
      </c>
      <c r="K94" s="37">
        <v>2.9143316100518732</v>
      </c>
      <c r="L94" s="37">
        <v>1734.1215798577125</v>
      </c>
      <c r="M94" s="37">
        <v>526749.66119910125</v>
      </c>
    </row>
    <row r="95" spans="1:13" ht="15" customHeight="1" x14ac:dyDescent="0.2">
      <c r="A95" s="10" t="s">
        <v>354</v>
      </c>
      <c r="B95" s="37">
        <v>219.70078543697497</v>
      </c>
      <c r="C95" s="37">
        <v>11.39405058996908</v>
      </c>
      <c r="D95" s="37">
        <v>47.550716819831031</v>
      </c>
      <c r="E95" s="37">
        <v>350.46478295855786</v>
      </c>
      <c r="F95" s="37">
        <v>51.06462162456102</v>
      </c>
      <c r="G95" s="37">
        <v>227.34373850851588</v>
      </c>
      <c r="H95" s="37">
        <v>431.59390317502726</v>
      </c>
      <c r="I95" s="37">
        <v>243.76474442101156</v>
      </c>
      <c r="J95" s="37">
        <v>70.518433426470324</v>
      </c>
      <c r="K95" s="37">
        <v>0.62951520283554141</v>
      </c>
      <c r="L95" s="37">
        <v>1654.0252921637548</v>
      </c>
      <c r="M95" s="37">
        <v>497313.6125068792</v>
      </c>
    </row>
    <row r="96" spans="1:13" ht="15" customHeight="1" x14ac:dyDescent="0.2">
      <c r="A96" s="10" t="s">
        <v>355</v>
      </c>
      <c r="B96" s="37">
        <v>199.84266167912725</v>
      </c>
      <c r="C96" s="37">
        <v>13.681930961429584</v>
      </c>
      <c r="D96" s="37">
        <v>44.401567701199234</v>
      </c>
      <c r="E96" s="37">
        <v>375.94807352852411</v>
      </c>
      <c r="F96" s="37">
        <v>19.164413670241291</v>
      </c>
      <c r="G96" s="37">
        <v>211.31831500196745</v>
      </c>
      <c r="H96" s="37">
        <v>427.38519803221311</v>
      </c>
      <c r="I96" s="37">
        <v>280.51790560533686</v>
      </c>
      <c r="J96" s="37">
        <v>73.158324312926595</v>
      </c>
      <c r="K96" s="37">
        <v>0.32158187843404995</v>
      </c>
      <c r="L96" s="37">
        <v>1645.7399723713995</v>
      </c>
      <c r="M96" s="37">
        <v>495615.41554963315</v>
      </c>
    </row>
    <row r="97" spans="1:13" ht="15" customHeight="1" x14ac:dyDescent="0.2">
      <c r="A97" s="10" t="s">
        <v>356</v>
      </c>
      <c r="B97" s="37">
        <v>200.10580966155192</v>
      </c>
      <c r="C97" s="37">
        <v>7.8508316487119334</v>
      </c>
      <c r="D97" s="37">
        <v>44.26491511652565</v>
      </c>
      <c r="E97" s="37">
        <v>337.25507814076207</v>
      </c>
      <c r="F97" s="37">
        <v>20.675766708386504</v>
      </c>
      <c r="G97" s="37">
        <v>232.58119353568307</v>
      </c>
      <c r="H97" s="37">
        <v>479.47571967741044</v>
      </c>
      <c r="I97" s="37">
        <v>295.56946115374808</v>
      </c>
      <c r="J97" s="37">
        <v>83.662447636044163</v>
      </c>
      <c r="K97" s="37">
        <v>0.93799547017175289</v>
      </c>
      <c r="L97" s="37">
        <v>1702.3792187489955</v>
      </c>
      <c r="M97" s="37">
        <v>500133.64901809552</v>
      </c>
    </row>
    <row r="98" spans="1:13" ht="15" customHeight="1" x14ac:dyDescent="0.2">
      <c r="A98" s="10" t="s">
        <v>357</v>
      </c>
      <c r="B98" s="37">
        <v>201.66615351845081</v>
      </c>
      <c r="C98" s="37">
        <v>10.365443157270388</v>
      </c>
      <c r="D98" s="37">
        <v>39.68360777674129</v>
      </c>
      <c r="E98" s="37">
        <v>310.65071933405068</v>
      </c>
      <c r="F98" s="37">
        <v>34.048268886733709</v>
      </c>
      <c r="G98" s="37">
        <v>192.71143552668889</v>
      </c>
      <c r="H98" s="37">
        <v>399.84396697432817</v>
      </c>
      <c r="I98" s="37">
        <v>223.86373693705542</v>
      </c>
      <c r="J98" s="37">
        <v>82.680149580903617</v>
      </c>
      <c r="K98" s="37">
        <v>0.78642045920225767</v>
      </c>
      <c r="L98" s="37">
        <v>1496.2999021514249</v>
      </c>
      <c r="M98" s="37">
        <v>436933.33738731593</v>
      </c>
    </row>
    <row r="99" spans="1:13" ht="15" customHeight="1" x14ac:dyDescent="0.2">
      <c r="A99" s="10" t="s">
        <v>358</v>
      </c>
      <c r="B99" s="37">
        <v>301.96059708139558</v>
      </c>
      <c r="C99" s="37">
        <v>14.484612036114857</v>
      </c>
      <c r="D99" s="37">
        <v>37.479202908662046</v>
      </c>
      <c r="E99" s="37">
        <v>433.98935103615997</v>
      </c>
      <c r="F99" s="37">
        <v>36.991253223989951</v>
      </c>
      <c r="G99" s="37">
        <v>215.29933280421557</v>
      </c>
      <c r="H99" s="37">
        <v>453.33469602184584</v>
      </c>
      <c r="I99" s="37">
        <v>332.34473426231784</v>
      </c>
      <c r="J99" s="37">
        <v>93.215320736216512</v>
      </c>
      <c r="K99" s="37">
        <v>5.3776646097588898</v>
      </c>
      <c r="L99" s="37">
        <v>1924.4767647206772</v>
      </c>
      <c r="M99" s="37">
        <v>561332.34497210942</v>
      </c>
    </row>
    <row r="100" spans="1:13" ht="15" customHeight="1" x14ac:dyDescent="0.2">
      <c r="A100" s="11" t="s">
        <v>287</v>
      </c>
      <c r="B100" s="22">
        <v>275.7695918760104</v>
      </c>
      <c r="C100" s="22">
        <v>10.537285616565084</v>
      </c>
      <c r="D100" s="22">
        <v>42.134812205162</v>
      </c>
      <c r="E100" s="22">
        <v>417.67695462045828</v>
      </c>
      <c r="F100" s="22">
        <v>42.923962926548626</v>
      </c>
      <c r="G100" s="22">
        <v>188.97086512372897</v>
      </c>
      <c r="H100" s="22">
        <v>422.82361008320618</v>
      </c>
      <c r="I100" s="22">
        <v>298.41201719497229</v>
      </c>
      <c r="J100" s="22">
        <v>82.553997628466107</v>
      </c>
      <c r="K100" s="22">
        <v>3.722503813760794</v>
      </c>
      <c r="L100" s="22">
        <v>1785.5256010888788</v>
      </c>
      <c r="M100" s="22">
        <v>528836.2583202637</v>
      </c>
    </row>
    <row r="101" spans="1:13" ht="15" customHeight="1" x14ac:dyDescent="0.2">
      <c r="A101" s="11" t="s">
        <v>288</v>
      </c>
      <c r="B101" s="22">
        <v>203.7975061909668</v>
      </c>
      <c r="C101" s="22">
        <v>6.5339985862695649</v>
      </c>
      <c r="D101" s="22">
        <v>33.34253949247212</v>
      </c>
      <c r="E101" s="22">
        <v>278.36073729195738</v>
      </c>
      <c r="F101" s="22">
        <v>46.707056162429403</v>
      </c>
      <c r="G101" s="22">
        <v>184.0937068375901</v>
      </c>
      <c r="H101" s="22">
        <v>381.20164069549065</v>
      </c>
      <c r="I101" s="22">
        <v>236.2510598497187</v>
      </c>
      <c r="J101" s="22">
        <v>93.127761204891812</v>
      </c>
      <c r="K101" s="22">
        <v>0.78714456736815686</v>
      </c>
      <c r="L101" s="22">
        <v>1464.2031508791547</v>
      </c>
      <c r="M101" s="22">
        <v>434580.47347164614</v>
      </c>
    </row>
    <row r="102" spans="1:13" ht="15" customHeight="1" x14ac:dyDescent="0.2">
      <c r="A102" s="11" t="s">
        <v>289</v>
      </c>
      <c r="B102" s="22">
        <v>229.54585078182816</v>
      </c>
      <c r="C102" s="22">
        <v>8.1943537067138887</v>
      </c>
      <c r="D102" s="22">
        <v>39.695584402637301</v>
      </c>
      <c r="E102" s="22">
        <v>360.70098847544944</v>
      </c>
      <c r="F102" s="22">
        <v>37.183662703736616</v>
      </c>
      <c r="G102" s="22">
        <v>205.86124690022945</v>
      </c>
      <c r="H102" s="22">
        <v>362.78080108073766</v>
      </c>
      <c r="I102" s="22">
        <v>305.13201383195508</v>
      </c>
      <c r="J102" s="22">
        <v>87.865111456562602</v>
      </c>
      <c r="K102" s="22">
        <v>0.3471878413655009</v>
      </c>
      <c r="L102" s="22">
        <v>1637.3068011812159</v>
      </c>
      <c r="M102" s="22">
        <v>484493.8182307324</v>
      </c>
    </row>
    <row r="103" spans="1:13" ht="15" customHeight="1" x14ac:dyDescent="0.2">
      <c r="A103" s="11" t="s">
        <v>290</v>
      </c>
      <c r="B103" s="22">
        <v>167.30083122635088</v>
      </c>
      <c r="C103" s="22">
        <v>10.551453338880492</v>
      </c>
      <c r="D103" s="22">
        <v>33.012418534478144</v>
      </c>
      <c r="E103" s="22">
        <v>354.6733555732016</v>
      </c>
      <c r="F103" s="22">
        <v>37.488394385578459</v>
      </c>
      <c r="G103" s="22">
        <v>210.38902070537353</v>
      </c>
      <c r="H103" s="22">
        <v>399.82944889177406</v>
      </c>
      <c r="I103" s="22">
        <v>392.06723068476595</v>
      </c>
      <c r="J103" s="22">
        <v>80.339905276232429</v>
      </c>
      <c r="K103" s="22">
        <v>0.2360107338881765</v>
      </c>
      <c r="L103" s="22">
        <v>1685.8880693505237</v>
      </c>
      <c r="M103" s="22">
        <v>503290.18840889505</v>
      </c>
    </row>
    <row r="104" spans="1:13" ht="15" customHeight="1" x14ac:dyDescent="0.2">
      <c r="A104" s="11" t="s">
        <v>291</v>
      </c>
      <c r="B104" s="22">
        <v>178.44124269991204</v>
      </c>
      <c r="C104" s="22">
        <v>12.792480757425666</v>
      </c>
      <c r="D104" s="22">
        <v>34.925985220473841</v>
      </c>
      <c r="E104" s="22">
        <v>252.7791955889835</v>
      </c>
      <c r="F104" s="22">
        <v>35.303561648044749</v>
      </c>
      <c r="G104" s="22">
        <v>177.18376449079568</v>
      </c>
      <c r="H104" s="22">
        <v>401.10889272452675</v>
      </c>
      <c r="I104" s="22">
        <v>333.45459494907055</v>
      </c>
      <c r="J104" s="22">
        <v>80.744983080295128</v>
      </c>
      <c r="K104" s="22">
        <v>0.43470020465455539</v>
      </c>
      <c r="L104" s="22">
        <v>1507.1694013641822</v>
      </c>
      <c r="M104" s="22">
        <v>451267.92057393555</v>
      </c>
    </row>
    <row r="105" spans="1:13" ht="15" customHeight="1" x14ac:dyDescent="0.2">
      <c r="A105" s="11" t="s">
        <v>292</v>
      </c>
      <c r="B105" s="22">
        <v>157.7470288701553</v>
      </c>
      <c r="C105" s="22">
        <v>8.4422529137909983</v>
      </c>
      <c r="D105" s="22">
        <v>43.146092218975973</v>
      </c>
      <c r="E105" s="22">
        <v>331.51486147452613</v>
      </c>
      <c r="F105" s="22">
        <v>33.429535163890534</v>
      </c>
      <c r="G105" s="22">
        <v>199.66918454198611</v>
      </c>
      <c r="H105" s="22">
        <v>435.29854259766705</v>
      </c>
      <c r="I105" s="22">
        <v>389.19622029440336</v>
      </c>
      <c r="J105" s="22">
        <v>82.853482811350688</v>
      </c>
      <c r="K105" s="22">
        <v>0.79520628924688919</v>
      </c>
      <c r="L105" s="22">
        <v>1682.0924071759928</v>
      </c>
      <c r="M105" s="22">
        <v>504461.86784145032</v>
      </c>
    </row>
    <row r="106" spans="1:13" ht="15" customHeight="1" x14ac:dyDescent="0.2">
      <c r="A106" s="11" t="s">
        <v>341</v>
      </c>
      <c r="B106" s="22">
        <v>248.36432837288046</v>
      </c>
      <c r="C106" s="22">
        <v>15.878154291105556</v>
      </c>
      <c r="D106" s="22">
        <v>50.224497769506485</v>
      </c>
      <c r="E106" s="22">
        <v>269.672363790752</v>
      </c>
      <c r="F106" s="22">
        <v>28.329831051697699</v>
      </c>
      <c r="G106" s="22">
        <v>228.26230505141277</v>
      </c>
      <c r="H106" s="22">
        <v>442.51459662986758</v>
      </c>
      <c r="I106" s="22">
        <v>500.59955363894403</v>
      </c>
      <c r="J106" s="22">
        <v>97.394805943909006</v>
      </c>
      <c r="K106" s="22">
        <v>0.98150715306968839</v>
      </c>
      <c r="L106" s="22">
        <v>1882.2219436931452</v>
      </c>
      <c r="M106" s="22">
        <v>566777.87146218412</v>
      </c>
    </row>
    <row r="107" spans="1:13" ht="15" customHeight="1" x14ac:dyDescent="0.2">
      <c r="A107" s="11" t="s">
        <v>342</v>
      </c>
      <c r="B107" s="22">
        <v>168.18645962656694</v>
      </c>
      <c r="C107" s="22">
        <v>7.9271798549267611</v>
      </c>
      <c r="D107" s="22">
        <v>43.092872700870444</v>
      </c>
      <c r="E107" s="22">
        <v>255.24394813071916</v>
      </c>
      <c r="F107" s="22">
        <v>38.943955307173624</v>
      </c>
      <c r="G107" s="22">
        <v>232.09969463572648</v>
      </c>
      <c r="H107" s="22">
        <v>383.19876393209574</v>
      </c>
      <c r="I107" s="22">
        <v>482.7240857165317</v>
      </c>
      <c r="J107" s="22">
        <v>80.721684050932879</v>
      </c>
      <c r="K107" s="22">
        <v>4.3479458639817992</v>
      </c>
      <c r="L107" s="22">
        <v>1696.4865898195253</v>
      </c>
      <c r="M107" s="22">
        <v>511472.21512675786</v>
      </c>
    </row>
    <row r="108" spans="1:13" ht="15" customHeight="1" x14ac:dyDescent="0.2">
      <c r="A108" s="11" t="s">
        <v>343</v>
      </c>
      <c r="B108" s="22">
        <v>186.23161357134705</v>
      </c>
      <c r="C108" s="22">
        <v>12.784044835214289</v>
      </c>
      <c r="D108" s="22">
        <v>50.163062904642857</v>
      </c>
      <c r="E108" s="22">
        <v>440.65943150993081</v>
      </c>
      <c r="F108" s="22">
        <v>42.816214371160392</v>
      </c>
      <c r="G108" s="22">
        <v>239.41790161005042</v>
      </c>
      <c r="H108" s="22">
        <v>470.12293438188192</v>
      </c>
      <c r="I108" s="22">
        <v>524.71353649872356</v>
      </c>
      <c r="J108" s="22">
        <v>81.186692468948706</v>
      </c>
      <c r="K108" s="22">
        <v>0.49853851547342776</v>
      </c>
      <c r="L108" s="22">
        <v>2048.593970667373</v>
      </c>
      <c r="M108" s="22">
        <v>619075.87926281209</v>
      </c>
    </row>
    <row r="109" spans="1:13" ht="15" customHeight="1" x14ac:dyDescent="0.2">
      <c r="A109" s="11" t="s">
        <v>344</v>
      </c>
      <c r="B109" s="22">
        <v>274.47361536697889</v>
      </c>
      <c r="C109" s="22">
        <v>14.51400630421551</v>
      </c>
      <c r="D109" s="22">
        <v>52.538471113926185</v>
      </c>
      <c r="E109" s="22">
        <v>357.84269409760617</v>
      </c>
      <c r="F109" s="22">
        <v>33.732476148061643</v>
      </c>
      <c r="G109" s="22">
        <v>277.07484009032419</v>
      </c>
      <c r="H109" s="22">
        <v>476.20333781984993</v>
      </c>
      <c r="I109" s="22">
        <v>586.61377914792479</v>
      </c>
      <c r="J109" s="22">
        <v>79.557422179555999</v>
      </c>
      <c r="K109" s="22">
        <v>4.2052125043445772</v>
      </c>
      <c r="L109" s="22">
        <v>2156.7558547727881</v>
      </c>
      <c r="M109" s="22">
        <v>653778.48063520261</v>
      </c>
    </row>
    <row r="110" spans="1:13" ht="15" customHeight="1" x14ac:dyDescent="0.2">
      <c r="A110" s="11" t="s">
        <v>345</v>
      </c>
      <c r="B110" s="22">
        <v>203.15207229383674</v>
      </c>
      <c r="C110" s="22">
        <v>11.508105276043178</v>
      </c>
      <c r="D110" s="22">
        <v>33.440934450149662</v>
      </c>
      <c r="E110" s="22">
        <v>333.27392907998274</v>
      </c>
      <c r="F110" s="22">
        <v>25.462441394888803</v>
      </c>
      <c r="G110" s="22">
        <v>224.47142083976667</v>
      </c>
      <c r="H110" s="22">
        <v>379.23700846752212</v>
      </c>
      <c r="I110" s="22">
        <v>500.69331519159647</v>
      </c>
      <c r="J110" s="22">
        <v>67.181278954910283</v>
      </c>
      <c r="K110" s="22">
        <v>7.0440490566504657E-2</v>
      </c>
      <c r="L110" s="22">
        <v>1778.4909464392631</v>
      </c>
      <c r="M110" s="22">
        <v>544835.3659688289</v>
      </c>
    </row>
    <row r="111" spans="1:13" ht="15" customHeight="1" x14ac:dyDescent="0.2">
      <c r="A111" s="11" t="s">
        <v>346</v>
      </c>
      <c r="B111" s="22">
        <v>243.19229919770612</v>
      </c>
      <c r="C111" s="22">
        <v>15.64636567034572</v>
      </c>
      <c r="D111" s="22">
        <v>48.207678075969369</v>
      </c>
      <c r="E111" s="22">
        <v>390.08594318744986</v>
      </c>
      <c r="F111" s="22">
        <v>31.94582542935677</v>
      </c>
      <c r="G111" s="22">
        <v>241.45851123331141</v>
      </c>
      <c r="H111" s="22">
        <v>494.1043505403768</v>
      </c>
      <c r="I111" s="22">
        <v>596.11321060190971</v>
      </c>
      <c r="J111" s="22">
        <v>93.934819106283157</v>
      </c>
      <c r="K111" s="22">
        <v>0.51651515924109215</v>
      </c>
      <c r="L111" s="22">
        <v>2155.2055182019499</v>
      </c>
      <c r="M111" s="22">
        <v>666391.48591300927</v>
      </c>
    </row>
    <row r="112" spans="1:13" ht="15" customHeight="1" x14ac:dyDescent="0.2">
      <c r="A112" s="169" t="s">
        <v>373</v>
      </c>
      <c r="B112" s="170">
        <v>239.54948515456442</v>
      </c>
      <c r="C112" s="170">
        <v>13.55061619077545</v>
      </c>
      <c r="D112" s="170">
        <v>49.983831271731916</v>
      </c>
      <c r="E112" s="170">
        <v>253.48932989648105</v>
      </c>
      <c r="F112" s="170">
        <v>18.096717795759847</v>
      </c>
      <c r="G112" s="170">
        <v>203.31756074600656</v>
      </c>
      <c r="H112" s="170">
        <v>433.67966192277123</v>
      </c>
      <c r="I112" s="170">
        <v>511.47356797471758</v>
      </c>
      <c r="J112" s="170">
        <v>80.121634982196554</v>
      </c>
      <c r="K112" s="170">
        <v>0.30361033792426451</v>
      </c>
      <c r="L112" s="170">
        <v>1803.2624059350046</v>
      </c>
      <c r="M112" s="170">
        <v>558387.59737363853</v>
      </c>
    </row>
    <row r="113" spans="1:13" ht="15" customHeight="1" x14ac:dyDescent="0.2">
      <c r="A113" s="169" t="s">
        <v>374</v>
      </c>
      <c r="B113" s="170">
        <v>187.589121678102</v>
      </c>
      <c r="C113" s="170">
        <v>8.4612345077219757</v>
      </c>
      <c r="D113" s="170">
        <v>33.610666719894184</v>
      </c>
      <c r="E113" s="170">
        <v>397.95029348794998</v>
      </c>
      <c r="F113" s="170">
        <v>26.623974349940102</v>
      </c>
      <c r="G113" s="170">
        <v>208.75477817055517</v>
      </c>
      <c r="H113" s="170">
        <v>407.01771119956504</v>
      </c>
      <c r="I113" s="170">
        <v>483.04902630171995</v>
      </c>
      <c r="J113" s="170">
        <v>80.771867299555936</v>
      </c>
      <c r="K113" s="170">
        <v>0.70835661731093624</v>
      </c>
      <c r="L113" s="170">
        <v>1833.828673715004</v>
      </c>
      <c r="M113" s="170">
        <v>567320.20704943384</v>
      </c>
    </row>
    <row r="114" spans="1:13" ht="15" customHeight="1" x14ac:dyDescent="0.2">
      <c r="A114" s="169" t="s">
        <v>375</v>
      </c>
      <c r="B114" s="170">
        <v>202.40147201029518</v>
      </c>
      <c r="C114" s="170">
        <v>11.90996916446867</v>
      </c>
      <c r="D114" s="170">
        <v>45.07497404884505</v>
      </c>
      <c r="E114" s="170">
        <v>630.10898750229842</v>
      </c>
      <c r="F114" s="170">
        <v>43.349911202774877</v>
      </c>
      <c r="G114" s="170">
        <v>206.11438282289703</v>
      </c>
      <c r="H114" s="170">
        <v>423.86958282584646</v>
      </c>
      <c r="I114" s="170">
        <v>483.52825737569685</v>
      </c>
      <c r="J114" s="170">
        <v>87.713421042622713</v>
      </c>
      <c r="K114" s="170">
        <v>1.0402592240505666</v>
      </c>
      <c r="L114" s="170">
        <v>2134.0709579957452</v>
      </c>
      <c r="M114" s="170">
        <v>665644.26131423097</v>
      </c>
    </row>
    <row r="115" spans="1:13" ht="15" customHeight="1" x14ac:dyDescent="0.2">
      <c r="A115" s="171" t="s">
        <v>397</v>
      </c>
      <c r="B115" s="172">
        <v>254.48722978402691</v>
      </c>
      <c r="C115" s="172">
        <v>12.387611965814667</v>
      </c>
      <c r="D115" s="172">
        <v>42.457749945884281</v>
      </c>
      <c r="E115" s="172">
        <v>886.15341976087609</v>
      </c>
      <c r="F115" s="172">
        <v>28.702623947113537</v>
      </c>
      <c r="G115" s="172">
        <v>254.90648509803236</v>
      </c>
      <c r="H115" s="172">
        <v>384.9655993319671</v>
      </c>
      <c r="I115" s="172">
        <v>509.00591638529124</v>
      </c>
      <c r="J115" s="172">
        <v>83.644082750105895</v>
      </c>
      <c r="K115" s="172">
        <v>1.9924193103692667</v>
      </c>
      <c r="L115" s="172">
        <v>2456.7107189691123</v>
      </c>
      <c r="M115" s="172">
        <v>777429.79208385409</v>
      </c>
    </row>
    <row r="116" spans="1:13" ht="15" customHeight="1" x14ac:dyDescent="0.2">
      <c r="A116" s="30" t="s">
        <v>52</v>
      </c>
      <c r="B116" s="30"/>
      <c r="C116" s="30"/>
      <c r="D116" s="30"/>
      <c r="E116" s="30"/>
      <c r="F116" s="30"/>
      <c r="K116" s="161" t="s">
        <v>0</v>
      </c>
      <c r="L116" s="30" t="s">
        <v>225</v>
      </c>
      <c r="M116" s="30"/>
    </row>
    <row r="117" spans="1:13" ht="15" customHeight="1" x14ac:dyDescent="0.2">
      <c r="A117" s="113" t="s">
        <v>1</v>
      </c>
      <c r="B117" s="30"/>
      <c r="C117" s="30"/>
      <c r="D117" s="30"/>
      <c r="E117" s="30"/>
      <c r="F117" s="30"/>
      <c r="L117" s="30" t="s">
        <v>4</v>
      </c>
      <c r="M117" s="30"/>
    </row>
    <row r="118" spans="1:13" ht="15" customHeight="1" x14ac:dyDescent="0.2">
      <c r="A118" s="30"/>
      <c r="B118" s="30"/>
      <c r="C118" s="30"/>
      <c r="D118" s="30"/>
      <c r="E118" s="30"/>
      <c r="F118" s="30"/>
      <c r="L118" s="30" t="s">
        <v>113</v>
      </c>
      <c r="M118" s="30"/>
    </row>
    <row r="119" spans="1:13" ht="15" customHeight="1" x14ac:dyDescent="0.2">
      <c r="A119" s="30"/>
      <c r="B119" s="30"/>
      <c r="C119" s="30"/>
      <c r="D119" s="30"/>
      <c r="E119" s="30"/>
      <c r="F119" s="30"/>
      <c r="L119" s="30" t="s">
        <v>114</v>
      </c>
      <c r="M119" s="30"/>
    </row>
  </sheetData>
  <mergeCells count="4">
    <mergeCell ref="A4:L4"/>
    <mergeCell ref="A5:A6"/>
    <mergeCell ref="B5:L5"/>
    <mergeCell ref="M5:M6"/>
  </mergeCells>
  <phoneticPr fontId="19" type="noConversion"/>
  <hyperlinks>
    <hyperlink ref="M2" location="Contents!A1" display="Back to Contents" xr:uid="{7EB4E814-BFC8-48C8-AF5F-768C8981EB96}"/>
  </hyperlinks>
  <pageMargins left="0.7" right="0.7" top="0.75" bottom="0.75" header="0.3" footer="0.3"/>
  <pageSetup paperSize="9" scale="54" orientation="landscape" r:id="rId1"/>
  <headerFooter>
    <oddHeader>&amp;L&amp;"Calibri"&amp;10&amp;K000000 [Limited Sharing]&amp;1#_x000D_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52029-B656-42E6-AC2E-6AB546D5B86B}">
  <sheetPr>
    <pageSetUpPr fitToPage="1"/>
  </sheetPr>
  <dimension ref="A1:L119"/>
  <sheetViews>
    <sheetView zoomScaleNormal="100" zoomScaleSheetLayoutView="50" workbookViewId="0">
      <selection activeCell="L2" sqref="L2"/>
    </sheetView>
  </sheetViews>
  <sheetFormatPr defaultRowHeight="15" customHeight="1" x14ac:dyDescent="0.2"/>
  <cols>
    <col min="1" max="1" width="13.42578125" style="76" customWidth="1"/>
    <col min="2" max="12" width="16.28515625" style="19" customWidth="1"/>
    <col min="13" max="13" width="5.5703125" style="19" customWidth="1"/>
    <col min="14" max="16384" width="9.140625" style="19"/>
  </cols>
  <sheetData>
    <row r="1" spans="1:12" s="16" customFormat="1" ht="15" customHeight="1" x14ac:dyDescent="0.25">
      <c r="A1" s="13" t="s">
        <v>29</v>
      </c>
      <c r="K1" s="55" t="s">
        <v>235</v>
      </c>
      <c r="L1" s="15" t="s">
        <v>245</v>
      </c>
    </row>
    <row r="2" spans="1:12" s="16" customFormat="1" ht="15" customHeight="1" x14ac:dyDescent="0.25">
      <c r="A2" s="54" t="s">
        <v>286</v>
      </c>
      <c r="K2" s="55"/>
      <c r="L2" s="17" t="s">
        <v>10</v>
      </c>
    </row>
    <row r="3" spans="1:12" s="16" customFormat="1" ht="15" customHeight="1" x14ac:dyDescent="0.25">
      <c r="A3" s="54"/>
      <c r="K3" s="55"/>
      <c r="L3" s="17"/>
    </row>
    <row r="4" spans="1:12" s="16" customFormat="1" ht="15" customHeight="1" x14ac:dyDescent="0.25">
      <c r="A4" s="267" t="s">
        <v>380</v>
      </c>
      <c r="B4" s="267"/>
      <c r="C4" s="267"/>
      <c r="D4" s="267"/>
      <c r="E4" s="267"/>
      <c r="F4" s="267"/>
      <c r="G4" s="267"/>
      <c r="H4" s="267"/>
      <c r="I4" s="267"/>
      <c r="J4" s="267"/>
      <c r="K4" s="267"/>
      <c r="L4" s="267"/>
    </row>
    <row r="5" spans="1:12" s="16" customFormat="1" ht="15" customHeight="1" x14ac:dyDescent="0.25">
      <c r="A5" s="119" t="s">
        <v>117</v>
      </c>
      <c r="L5" s="116" t="s">
        <v>236</v>
      </c>
    </row>
    <row r="6" spans="1:12" ht="15" customHeight="1" x14ac:dyDescent="0.2">
      <c r="A6" s="268" t="s">
        <v>3</v>
      </c>
      <c r="B6" s="117" t="s">
        <v>31</v>
      </c>
      <c r="C6" s="117"/>
      <c r="D6" s="117"/>
      <c r="E6" s="117"/>
      <c r="F6" s="117"/>
      <c r="G6" s="117"/>
      <c r="H6" s="117"/>
      <c r="I6" s="117"/>
      <c r="J6" s="117"/>
      <c r="K6" s="117"/>
      <c r="L6" s="227" t="s">
        <v>237</v>
      </c>
    </row>
    <row r="7" spans="1:12" ht="15" customHeight="1" x14ac:dyDescent="0.2">
      <c r="A7" s="268"/>
      <c r="B7" s="214" t="s">
        <v>238</v>
      </c>
      <c r="C7" s="214"/>
      <c r="D7" s="214"/>
      <c r="E7" s="214"/>
      <c r="F7" s="214" t="s">
        <v>239</v>
      </c>
      <c r="G7" s="214"/>
      <c r="H7" s="214"/>
      <c r="I7" s="214"/>
      <c r="J7" s="214"/>
      <c r="K7" s="214" t="s">
        <v>105</v>
      </c>
      <c r="L7" s="228"/>
    </row>
    <row r="8" spans="1:12" ht="30" customHeight="1" x14ac:dyDescent="0.2">
      <c r="A8" s="268"/>
      <c r="B8" s="118" t="s">
        <v>240</v>
      </c>
      <c r="C8" s="118" t="s">
        <v>241</v>
      </c>
      <c r="D8" s="118" t="s">
        <v>74</v>
      </c>
      <c r="E8" s="118" t="s">
        <v>2</v>
      </c>
      <c r="F8" s="118" t="s">
        <v>149</v>
      </c>
      <c r="G8" s="118" t="s">
        <v>150</v>
      </c>
      <c r="H8" s="118" t="s">
        <v>242</v>
      </c>
      <c r="I8" s="118" t="s">
        <v>243</v>
      </c>
      <c r="J8" s="118" t="s">
        <v>12</v>
      </c>
      <c r="K8" s="214"/>
      <c r="L8" s="229"/>
    </row>
    <row r="9" spans="1:12" ht="15" customHeight="1" x14ac:dyDescent="0.2">
      <c r="A9" s="35" t="s">
        <v>48</v>
      </c>
      <c r="B9" s="12">
        <v>215.61860920210896</v>
      </c>
      <c r="C9" s="12">
        <v>231.342899594963</v>
      </c>
      <c r="D9" s="12">
        <v>231.18386494094921</v>
      </c>
      <c r="E9" s="12">
        <v>205.96391213323224</v>
      </c>
      <c r="F9" s="12">
        <v>141.3881589811626</v>
      </c>
      <c r="G9" s="12">
        <v>28.490402007524654</v>
      </c>
      <c r="H9" s="12">
        <v>341.59215461506392</v>
      </c>
      <c r="I9" s="12">
        <v>308.61771659292469</v>
      </c>
      <c r="J9" s="12">
        <v>166.16113011754214</v>
      </c>
      <c r="K9" s="12">
        <v>170.02681147779279</v>
      </c>
      <c r="L9" s="12">
        <v>190.68919998416519</v>
      </c>
    </row>
    <row r="10" spans="1:12" ht="15" customHeight="1" x14ac:dyDescent="0.2">
      <c r="A10" s="34" t="s">
        <v>49</v>
      </c>
      <c r="B10" s="120">
        <v>285.1270383963552</v>
      </c>
      <c r="C10" s="120">
        <v>339.29122613821318</v>
      </c>
      <c r="D10" s="120">
        <v>332.03592447929191</v>
      </c>
      <c r="E10" s="120">
        <v>280.28905821418118</v>
      </c>
      <c r="F10" s="120">
        <v>161.77204480960413</v>
      </c>
      <c r="G10" s="120">
        <v>42.780762026640822</v>
      </c>
      <c r="H10" s="120">
        <v>452.1230790823908</v>
      </c>
      <c r="I10" s="120">
        <v>367.14081954346619</v>
      </c>
      <c r="J10" s="120">
        <v>208.37143262088594</v>
      </c>
      <c r="K10" s="120">
        <v>322.82104775933556</v>
      </c>
      <c r="L10" s="120">
        <v>255.11125382603086</v>
      </c>
    </row>
    <row r="11" spans="1:12" ht="15" customHeight="1" x14ac:dyDescent="0.2">
      <c r="A11" s="35" t="s">
        <v>50</v>
      </c>
      <c r="B11" s="12">
        <v>506.89042022075114</v>
      </c>
      <c r="C11" s="12">
        <v>595.39980948646178</v>
      </c>
      <c r="D11" s="12">
        <v>499.75779918656525</v>
      </c>
      <c r="E11" s="12">
        <v>490.13498816827206</v>
      </c>
      <c r="F11" s="12">
        <v>252.52450840682374</v>
      </c>
      <c r="G11" s="12">
        <v>65.07601746411278</v>
      </c>
      <c r="H11" s="12">
        <v>686.18118746315542</v>
      </c>
      <c r="I11" s="12">
        <v>734.73802796240898</v>
      </c>
      <c r="J11" s="12">
        <v>320.3776027882414</v>
      </c>
      <c r="K11" s="12">
        <v>601.15889654188402</v>
      </c>
      <c r="L11" s="12">
        <v>434.41845498082671</v>
      </c>
    </row>
    <row r="12" spans="1:12" ht="15" customHeight="1" x14ac:dyDescent="0.2">
      <c r="A12" s="34" t="s">
        <v>51</v>
      </c>
      <c r="B12" s="120">
        <v>421.68874554703615</v>
      </c>
      <c r="C12" s="120">
        <v>594.79286823833888</v>
      </c>
      <c r="D12" s="120">
        <v>469.48511804169874</v>
      </c>
      <c r="E12" s="120">
        <v>441.17268855385691</v>
      </c>
      <c r="F12" s="120">
        <v>263.08986174881403</v>
      </c>
      <c r="G12" s="120">
        <v>47.436268310282664</v>
      </c>
      <c r="H12" s="120">
        <v>586.62513602210026</v>
      </c>
      <c r="I12" s="120">
        <v>723.8979884160791</v>
      </c>
      <c r="J12" s="120">
        <v>321.89688192509738</v>
      </c>
      <c r="K12" s="120">
        <v>462.97369483711486</v>
      </c>
      <c r="L12" s="120">
        <v>399.99845356533768</v>
      </c>
    </row>
    <row r="13" spans="1:12" ht="15" customHeight="1" x14ac:dyDescent="0.2">
      <c r="A13" s="35" t="s">
        <v>338</v>
      </c>
      <c r="B13" s="12">
        <v>403.10624364050187</v>
      </c>
      <c r="C13" s="12">
        <v>1079.3605419629828</v>
      </c>
      <c r="D13" s="12">
        <v>468.58648162930376</v>
      </c>
      <c r="E13" s="12">
        <v>436.25031279490992</v>
      </c>
      <c r="F13" s="12">
        <v>266.27284299267296</v>
      </c>
      <c r="G13" s="12">
        <v>40.000542078241224</v>
      </c>
      <c r="H13" s="12">
        <v>670.66078398888965</v>
      </c>
      <c r="I13" s="12">
        <v>577.01118599756398</v>
      </c>
      <c r="J13" s="12">
        <v>321.20949294020318</v>
      </c>
      <c r="K13" s="12">
        <v>270.61261735633929</v>
      </c>
      <c r="L13" s="12">
        <v>395.67202812468099</v>
      </c>
    </row>
    <row r="14" spans="1:12" ht="15" customHeight="1" x14ac:dyDescent="0.2">
      <c r="A14" s="34" t="s">
        <v>337</v>
      </c>
      <c r="B14" s="120">
        <v>421.56695981987747</v>
      </c>
      <c r="C14" s="120">
        <v>981.80281324215628</v>
      </c>
      <c r="D14" s="120">
        <v>437.12110423807604</v>
      </c>
      <c r="E14" s="120">
        <v>456.98593117325009</v>
      </c>
      <c r="F14" s="120">
        <v>278.43757637288326</v>
      </c>
      <c r="G14" s="120">
        <v>47.907755366872998</v>
      </c>
      <c r="H14" s="120">
        <v>922.14456152114599</v>
      </c>
      <c r="I14" s="120">
        <v>804.95110311457665</v>
      </c>
      <c r="J14" s="120">
        <v>354.71194595477522</v>
      </c>
      <c r="K14" s="120">
        <v>265.93997466765614</v>
      </c>
      <c r="L14" s="120">
        <v>419.20912545995026</v>
      </c>
    </row>
    <row r="15" spans="1:12" ht="15" customHeight="1" x14ac:dyDescent="0.2">
      <c r="A15" s="8"/>
      <c r="B15" s="114"/>
      <c r="C15" s="114"/>
      <c r="D15" s="114"/>
      <c r="E15" s="114"/>
      <c r="F15" s="114"/>
      <c r="G15" s="114"/>
      <c r="H15" s="114"/>
      <c r="I15" s="114"/>
      <c r="J15" s="114"/>
      <c r="K15" s="114"/>
      <c r="L15" s="120"/>
    </row>
    <row r="16" spans="1:12" ht="15" customHeight="1" x14ac:dyDescent="0.2">
      <c r="A16" s="9" t="s">
        <v>13</v>
      </c>
      <c r="B16" s="115">
        <v>241.41894543750365</v>
      </c>
      <c r="C16" s="115">
        <v>435.09668202161521</v>
      </c>
      <c r="D16" s="115">
        <v>227.48607922953275</v>
      </c>
      <c r="E16" s="115">
        <v>226.02511483099329</v>
      </c>
      <c r="F16" s="115">
        <v>120.97785194482759</v>
      </c>
      <c r="G16" s="115">
        <v>26.757289538501396</v>
      </c>
      <c r="H16" s="115">
        <v>274.48676033948396</v>
      </c>
      <c r="I16" s="115">
        <v>357.59182738279986</v>
      </c>
      <c r="J16" s="115">
        <v>141.74970922528561</v>
      </c>
      <c r="K16" s="115">
        <v>130.18596559694083</v>
      </c>
      <c r="L16" s="115">
        <v>198.26928984131635</v>
      </c>
    </row>
    <row r="17" spans="1:12" ht="15" customHeight="1" x14ac:dyDescent="0.2">
      <c r="A17" s="9" t="s">
        <v>14</v>
      </c>
      <c r="B17" s="115">
        <v>136.0937248469896</v>
      </c>
      <c r="C17" s="115">
        <v>106.19934501576661</v>
      </c>
      <c r="D17" s="115">
        <v>166.62845115757307</v>
      </c>
      <c r="E17" s="115">
        <v>133.1928888355381</v>
      </c>
      <c r="F17" s="115">
        <v>139.68394352359283</v>
      </c>
      <c r="G17" s="115">
        <v>24.119148887718165</v>
      </c>
      <c r="H17" s="115">
        <v>306.64148806171193</v>
      </c>
      <c r="I17" s="115">
        <v>289.50462301111605</v>
      </c>
      <c r="J17" s="115">
        <v>153.80938406253674</v>
      </c>
      <c r="K17" s="115">
        <v>133.04673577694874</v>
      </c>
      <c r="L17" s="115">
        <v>135.81481401157009</v>
      </c>
    </row>
    <row r="18" spans="1:12" ht="15" customHeight="1" x14ac:dyDescent="0.2">
      <c r="A18" s="9" t="s">
        <v>15</v>
      </c>
      <c r="B18" s="115">
        <v>262.46221233458584</v>
      </c>
      <c r="C18" s="115">
        <v>192.45439907197411</v>
      </c>
      <c r="D18" s="115">
        <v>272.22982887558538</v>
      </c>
      <c r="E18" s="115">
        <v>249.94417091269005</v>
      </c>
      <c r="F18" s="115">
        <v>158.39767695291354</v>
      </c>
      <c r="G18" s="115">
        <v>24.457824788534072</v>
      </c>
      <c r="H18" s="115">
        <v>437.29520946685506</v>
      </c>
      <c r="I18" s="115">
        <v>370.48918252064442</v>
      </c>
      <c r="J18" s="115">
        <v>198.92164260618506</v>
      </c>
      <c r="K18" s="115">
        <v>167.91930095052237</v>
      </c>
      <c r="L18" s="115">
        <v>230.52902785608717</v>
      </c>
    </row>
    <row r="19" spans="1:12" ht="15" customHeight="1" x14ac:dyDescent="0.2">
      <c r="A19" s="9" t="s">
        <v>16</v>
      </c>
      <c r="B19" s="115">
        <v>222.49955418935687</v>
      </c>
      <c r="C19" s="115">
        <v>191.62117227049589</v>
      </c>
      <c r="D19" s="115">
        <v>258.39110050110565</v>
      </c>
      <c r="E19" s="115">
        <v>214.69347395370758</v>
      </c>
      <c r="F19" s="115">
        <v>146.49316350331637</v>
      </c>
      <c r="G19" s="115">
        <v>38.627344815344998</v>
      </c>
      <c r="H19" s="115">
        <v>347.9451605922049</v>
      </c>
      <c r="I19" s="115">
        <v>216.88523345713872</v>
      </c>
      <c r="J19" s="115">
        <v>170.16378457616119</v>
      </c>
      <c r="K19" s="115">
        <v>248.95524358675917</v>
      </c>
      <c r="L19" s="115">
        <v>198.14366822768713</v>
      </c>
    </row>
    <row r="20" spans="1:12" ht="15" customHeight="1" x14ac:dyDescent="0.2">
      <c r="A20" s="8" t="s">
        <v>17</v>
      </c>
      <c r="B20" s="114">
        <v>272.84100550194194</v>
      </c>
      <c r="C20" s="114">
        <v>223.35877946421485</v>
      </c>
      <c r="D20" s="114">
        <v>316.10271892306906</v>
      </c>
      <c r="E20" s="114">
        <v>259.37222226632304</v>
      </c>
      <c r="F20" s="114">
        <v>161.23942245760369</v>
      </c>
      <c r="G20" s="114">
        <v>48.420020969765631</v>
      </c>
      <c r="H20" s="114">
        <v>399.85137238831584</v>
      </c>
      <c r="I20" s="114">
        <v>307.07579242000287</v>
      </c>
      <c r="J20" s="114">
        <v>197.75044951047354</v>
      </c>
      <c r="K20" s="114">
        <v>334.19699012028451</v>
      </c>
      <c r="L20" s="114">
        <v>237.4029733149282</v>
      </c>
    </row>
    <row r="21" spans="1:12" ht="15" customHeight="1" x14ac:dyDescent="0.2">
      <c r="A21" s="8" t="s">
        <v>18</v>
      </c>
      <c r="B21" s="114">
        <v>242.20652157900341</v>
      </c>
      <c r="C21" s="114">
        <v>296.42300456995849</v>
      </c>
      <c r="D21" s="114">
        <v>307.95898740047966</v>
      </c>
      <c r="E21" s="114">
        <v>243.32538917740885</v>
      </c>
      <c r="F21" s="114">
        <v>152.85266329860659</v>
      </c>
      <c r="G21" s="114">
        <v>32.820792206244363</v>
      </c>
      <c r="H21" s="114">
        <v>424.98462205134712</v>
      </c>
      <c r="I21" s="114">
        <v>280.78081062431471</v>
      </c>
      <c r="J21" s="114">
        <v>181.83927044361837</v>
      </c>
      <c r="K21" s="114">
        <v>380.18889150763806</v>
      </c>
      <c r="L21" s="114">
        <v>221.8673223544296</v>
      </c>
    </row>
    <row r="22" spans="1:12" ht="15" customHeight="1" x14ac:dyDescent="0.2">
      <c r="A22" s="8" t="s">
        <v>19</v>
      </c>
      <c r="B22" s="114">
        <v>297.81876896299701</v>
      </c>
      <c r="C22" s="114">
        <v>410.18800360188453</v>
      </c>
      <c r="D22" s="114">
        <v>348.29341952446021</v>
      </c>
      <c r="E22" s="114">
        <v>291.0093187999571</v>
      </c>
      <c r="F22" s="114">
        <v>165.77848423180666</v>
      </c>
      <c r="G22" s="114">
        <v>49.975876817056836</v>
      </c>
      <c r="H22" s="114">
        <v>499.45605588481135</v>
      </c>
      <c r="I22" s="114">
        <v>438.31427011007935</v>
      </c>
      <c r="J22" s="114">
        <v>224.21757396472344</v>
      </c>
      <c r="K22" s="114">
        <v>261.53151398386649</v>
      </c>
      <c r="L22" s="114">
        <v>266.89803680280204</v>
      </c>
    </row>
    <row r="23" spans="1:12" ht="15" customHeight="1" x14ac:dyDescent="0.2">
      <c r="A23" s="8" t="s">
        <v>20</v>
      </c>
      <c r="B23" s="114">
        <v>327.64185754147849</v>
      </c>
      <c r="C23" s="114">
        <v>427.19511691679463</v>
      </c>
      <c r="D23" s="114">
        <v>355.78857206915865</v>
      </c>
      <c r="E23" s="114">
        <v>327.44930261303585</v>
      </c>
      <c r="F23" s="114">
        <v>167.21760925039959</v>
      </c>
      <c r="G23" s="114">
        <v>39.906358113496452</v>
      </c>
      <c r="H23" s="114">
        <v>484.20026600508862</v>
      </c>
      <c r="I23" s="114">
        <v>442.39240501946796</v>
      </c>
      <c r="J23" s="114">
        <v>229.67843656472849</v>
      </c>
      <c r="K23" s="114">
        <v>315.36679542555333</v>
      </c>
      <c r="L23" s="114">
        <v>294.2766828319634</v>
      </c>
    </row>
    <row r="24" spans="1:12" ht="15" customHeight="1" x14ac:dyDescent="0.2">
      <c r="A24" s="9" t="s">
        <v>21</v>
      </c>
      <c r="B24" s="115">
        <v>340.65814038617367</v>
      </c>
      <c r="C24" s="115">
        <v>526.88740175512714</v>
      </c>
      <c r="D24" s="115">
        <v>350.47585033210777</v>
      </c>
      <c r="E24" s="115">
        <v>335.16595459504919</v>
      </c>
      <c r="F24" s="115">
        <v>154.66622257847152</v>
      </c>
      <c r="G24" s="115">
        <v>65.494534499845571</v>
      </c>
      <c r="H24" s="115">
        <v>493.4569242996775</v>
      </c>
      <c r="I24" s="115">
        <v>368.28924993200661</v>
      </c>
      <c r="J24" s="115">
        <v>204.02739286162878</v>
      </c>
      <c r="K24" s="115">
        <v>322.54300182673001</v>
      </c>
      <c r="L24" s="115">
        <v>292.72539613638872</v>
      </c>
    </row>
    <row r="25" spans="1:12" ht="15" customHeight="1" x14ac:dyDescent="0.2">
      <c r="A25" s="9" t="s">
        <v>22</v>
      </c>
      <c r="B25" s="115">
        <v>550.20349681392224</v>
      </c>
      <c r="C25" s="115">
        <v>769.7354864154878</v>
      </c>
      <c r="D25" s="115">
        <v>535.01521993785889</v>
      </c>
      <c r="E25" s="115">
        <v>532.01563484384849</v>
      </c>
      <c r="F25" s="115">
        <v>248.86999009912847</v>
      </c>
      <c r="G25" s="115">
        <v>60.980582935647625</v>
      </c>
      <c r="H25" s="115">
        <v>824.02513991921899</v>
      </c>
      <c r="I25" s="115">
        <v>872.17468962930673</v>
      </c>
      <c r="J25" s="115">
        <v>331.34790583037375</v>
      </c>
      <c r="K25" s="115">
        <v>338.96885862493667</v>
      </c>
      <c r="L25" s="115">
        <v>466.24122390435542</v>
      </c>
    </row>
    <row r="26" spans="1:12" ht="15" customHeight="1" x14ac:dyDescent="0.2">
      <c r="A26" s="9" t="s">
        <v>23</v>
      </c>
      <c r="B26" s="115">
        <v>609.89904805949436</v>
      </c>
      <c r="C26" s="115">
        <v>459.28857321057444</v>
      </c>
      <c r="D26" s="115">
        <v>601.280317798189</v>
      </c>
      <c r="E26" s="115">
        <v>575.73003741829825</v>
      </c>
      <c r="F26" s="115">
        <v>319.46474113820346</v>
      </c>
      <c r="G26" s="115">
        <v>69.804942848731045</v>
      </c>
      <c r="H26" s="115">
        <v>757.76572909767856</v>
      </c>
      <c r="I26" s="115">
        <v>981.09455557918966</v>
      </c>
      <c r="J26" s="115">
        <v>395.90065461117723</v>
      </c>
      <c r="K26" s="115">
        <v>371.63184263832363</v>
      </c>
      <c r="L26" s="115">
        <v>514.51781852612578</v>
      </c>
    </row>
    <row r="27" spans="1:12" ht="15" customHeight="1" x14ac:dyDescent="0.2">
      <c r="A27" s="9" t="s">
        <v>24</v>
      </c>
      <c r="B27" s="115">
        <v>526.80099562341377</v>
      </c>
      <c r="C27" s="115">
        <v>625.68777656465738</v>
      </c>
      <c r="D27" s="115">
        <v>512.2598086781054</v>
      </c>
      <c r="E27" s="115">
        <v>517.62832581589237</v>
      </c>
      <c r="F27" s="115">
        <v>287.09707981149148</v>
      </c>
      <c r="G27" s="115">
        <v>64.024009572226888</v>
      </c>
      <c r="H27" s="115">
        <v>669.47695653604683</v>
      </c>
      <c r="I27" s="115">
        <v>717.39361670913274</v>
      </c>
      <c r="J27" s="115">
        <v>350.23445784978594</v>
      </c>
      <c r="K27" s="115">
        <v>1371.4918830775459</v>
      </c>
      <c r="L27" s="115">
        <v>464.18938135643702</v>
      </c>
    </row>
    <row r="28" spans="1:12" ht="15" customHeight="1" x14ac:dyDescent="0.2">
      <c r="A28" s="8" t="s">
        <v>25</v>
      </c>
      <c r="B28" s="114">
        <v>471.96553996711197</v>
      </c>
      <c r="C28" s="114">
        <v>616.40067706992909</v>
      </c>
      <c r="D28" s="114">
        <v>517.80068578166572</v>
      </c>
      <c r="E28" s="114">
        <v>483.99623547325717</v>
      </c>
      <c r="F28" s="114">
        <v>270.83274059872684</v>
      </c>
      <c r="G28" s="114">
        <v>77.379333776161445</v>
      </c>
      <c r="H28" s="114">
        <v>565.95401419845598</v>
      </c>
      <c r="I28" s="114">
        <v>453.56676433397934</v>
      </c>
      <c r="J28" s="114">
        <v>327.23874618327454</v>
      </c>
      <c r="K28" s="114">
        <v>395.72058064962317</v>
      </c>
      <c r="L28" s="114">
        <v>431.56273917218135</v>
      </c>
    </row>
    <row r="29" spans="1:12" ht="15" customHeight="1" x14ac:dyDescent="0.2">
      <c r="A29" s="8" t="s">
        <v>26</v>
      </c>
      <c r="B29" s="114">
        <v>388.62047238912601</v>
      </c>
      <c r="C29" s="114">
        <v>488.99823750644867</v>
      </c>
      <c r="D29" s="114">
        <v>393.49881226970211</v>
      </c>
      <c r="E29" s="114">
        <v>403.96640088761768</v>
      </c>
      <c r="F29" s="114">
        <v>244.96744179233534</v>
      </c>
      <c r="G29" s="114">
        <v>40.62958260755638</v>
      </c>
      <c r="H29" s="114">
        <v>565.62734183569773</v>
      </c>
      <c r="I29" s="114">
        <v>831.08642036036065</v>
      </c>
      <c r="J29" s="114">
        <v>295.91678093590764</v>
      </c>
      <c r="K29" s="114">
        <v>190.3378025843044</v>
      </c>
      <c r="L29" s="114">
        <v>365.94213367428324</v>
      </c>
    </row>
    <row r="30" spans="1:12" ht="15" customHeight="1" x14ac:dyDescent="0.2">
      <c r="A30" s="8" t="s">
        <v>27</v>
      </c>
      <c r="B30" s="114">
        <v>416.02955209510674</v>
      </c>
      <c r="C30" s="114">
        <v>537.09150630655017</v>
      </c>
      <c r="D30" s="114">
        <v>481.89104361142796</v>
      </c>
      <c r="E30" s="114">
        <v>444.32689451249416</v>
      </c>
      <c r="F30" s="114">
        <v>280.04230432166531</v>
      </c>
      <c r="G30" s="114">
        <v>41.660517778279804</v>
      </c>
      <c r="H30" s="114">
        <v>654.41793153334118</v>
      </c>
      <c r="I30" s="114">
        <v>1005.3938156803266</v>
      </c>
      <c r="J30" s="114">
        <v>353.08785470720795</v>
      </c>
      <c r="K30" s="114">
        <v>284.68233431557206</v>
      </c>
      <c r="L30" s="114">
        <v>409.98948685632627</v>
      </c>
    </row>
    <row r="31" spans="1:12" ht="15" customHeight="1" x14ac:dyDescent="0.2">
      <c r="A31" s="8" t="s">
        <v>28</v>
      </c>
      <c r="B31" s="114">
        <v>410.13941773679971</v>
      </c>
      <c r="C31" s="114">
        <v>736.6810520704272</v>
      </c>
      <c r="D31" s="114">
        <v>484.74993050399917</v>
      </c>
      <c r="E31" s="114">
        <v>432.40122334205915</v>
      </c>
      <c r="F31" s="114">
        <v>256.51696028252849</v>
      </c>
      <c r="G31" s="114">
        <v>30.075639079133051</v>
      </c>
      <c r="H31" s="114">
        <v>560.50125652090583</v>
      </c>
      <c r="I31" s="114">
        <v>605.54495328965015</v>
      </c>
      <c r="J31" s="114">
        <v>311.34414587399942</v>
      </c>
      <c r="K31" s="114">
        <v>981.15406179895979</v>
      </c>
      <c r="L31" s="114">
        <v>392.49945455856005</v>
      </c>
    </row>
    <row r="32" spans="1:12" ht="15" customHeight="1" x14ac:dyDescent="0.2">
      <c r="A32" s="9" t="s">
        <v>369</v>
      </c>
      <c r="B32" s="115">
        <v>411.83529721202143</v>
      </c>
      <c r="C32" s="115">
        <v>1173.3182318986937</v>
      </c>
      <c r="D32" s="115">
        <v>520.1777519775726</v>
      </c>
      <c r="E32" s="115">
        <v>458.85853470926673</v>
      </c>
      <c r="F32" s="115">
        <v>272.51383067653501</v>
      </c>
      <c r="G32" s="115">
        <v>42.613504519098143</v>
      </c>
      <c r="H32" s="115">
        <v>636.91760815785085</v>
      </c>
      <c r="I32" s="115">
        <v>621.57352438598616</v>
      </c>
      <c r="J32" s="115">
        <v>306.90647127503718</v>
      </c>
      <c r="K32" s="115">
        <v>278.94916362940393</v>
      </c>
      <c r="L32" s="115">
        <v>407.83462787239404</v>
      </c>
    </row>
    <row r="33" spans="1:12" ht="15" customHeight="1" x14ac:dyDescent="0.2">
      <c r="A33" s="9" t="s">
        <v>370</v>
      </c>
      <c r="B33" s="115">
        <v>368.5140594954384</v>
      </c>
      <c r="C33" s="115">
        <v>1026.5047929361926</v>
      </c>
      <c r="D33" s="115">
        <v>431.17983964366476</v>
      </c>
      <c r="E33" s="115">
        <v>403.98073895310125</v>
      </c>
      <c r="F33" s="115">
        <v>245.82359678608768</v>
      </c>
      <c r="G33" s="115">
        <v>31.265472668187886</v>
      </c>
      <c r="H33" s="115">
        <v>614.71030431434122</v>
      </c>
      <c r="I33" s="115">
        <v>593.71595531636092</v>
      </c>
      <c r="J33" s="115">
        <v>296.61787177367705</v>
      </c>
      <c r="K33" s="115">
        <v>274.0662253858552</v>
      </c>
      <c r="L33" s="115">
        <v>366.43540846281513</v>
      </c>
    </row>
    <row r="34" spans="1:12" ht="15" customHeight="1" x14ac:dyDescent="0.2">
      <c r="A34" s="9" t="s">
        <v>371</v>
      </c>
      <c r="B34" s="115">
        <v>438.0852845743097</v>
      </c>
      <c r="C34" s="115">
        <v>1018.569733197496</v>
      </c>
      <c r="D34" s="115">
        <v>485.44659199813196</v>
      </c>
      <c r="E34" s="115">
        <v>456.63327913788822</v>
      </c>
      <c r="F34" s="115">
        <v>276.11875598423859</v>
      </c>
      <c r="G34" s="115">
        <v>42.617694362217968</v>
      </c>
      <c r="H34" s="115">
        <v>751.60741865733678</v>
      </c>
      <c r="I34" s="115">
        <v>543.46996056445403</v>
      </c>
      <c r="J34" s="115">
        <v>349.93784700573764</v>
      </c>
      <c r="K34" s="115">
        <v>320.4942323842962</v>
      </c>
      <c r="L34" s="115">
        <v>417.84713092231414</v>
      </c>
    </row>
    <row r="35" spans="1:12" ht="15" customHeight="1" x14ac:dyDescent="0.2">
      <c r="A35" s="9" t="s">
        <v>372</v>
      </c>
      <c r="B35" s="115">
        <v>393.99033328023825</v>
      </c>
      <c r="C35" s="115">
        <v>1099.0494098195493</v>
      </c>
      <c r="D35" s="115">
        <v>437.54174289784515</v>
      </c>
      <c r="E35" s="115">
        <v>425.52869837938323</v>
      </c>
      <c r="F35" s="115">
        <v>270.63518852383049</v>
      </c>
      <c r="G35" s="115">
        <v>43.505496763460911</v>
      </c>
      <c r="H35" s="115">
        <v>679.40780482603009</v>
      </c>
      <c r="I35" s="115">
        <v>549.2853037234546</v>
      </c>
      <c r="J35" s="115">
        <v>331.37578170636084</v>
      </c>
      <c r="K35" s="115">
        <v>208.94084802580173</v>
      </c>
      <c r="L35" s="115">
        <v>390.57094524120083</v>
      </c>
    </row>
    <row r="36" spans="1:12" ht="15" customHeight="1" x14ac:dyDescent="0.2">
      <c r="A36" s="8" t="s">
        <v>246</v>
      </c>
      <c r="B36" s="114">
        <v>433.35708810665915</v>
      </c>
      <c r="C36" s="114">
        <v>1031.3558240497839</v>
      </c>
      <c r="D36" s="114">
        <v>455.91868845412654</v>
      </c>
      <c r="E36" s="114">
        <v>451.98379212323522</v>
      </c>
      <c r="F36" s="114">
        <v>270.04188067376884</v>
      </c>
      <c r="G36" s="114">
        <v>55.443813666825854</v>
      </c>
      <c r="H36" s="114">
        <v>765.59467065242097</v>
      </c>
      <c r="I36" s="114">
        <v>509.42508712972966</v>
      </c>
      <c r="J36" s="114">
        <v>323.42902983686355</v>
      </c>
      <c r="K36" s="114">
        <v>210.08663253713453</v>
      </c>
      <c r="L36" s="114">
        <v>406.93839406454578</v>
      </c>
    </row>
    <row r="37" spans="1:12" ht="15" customHeight="1" x14ac:dyDescent="0.2">
      <c r="A37" s="8" t="s">
        <v>247</v>
      </c>
      <c r="B37" s="114">
        <v>385.00259116049057</v>
      </c>
      <c r="C37" s="114">
        <v>829.89185912610003</v>
      </c>
      <c r="D37" s="114">
        <v>401.35038385059624</v>
      </c>
      <c r="E37" s="114">
        <v>420.26813932121735</v>
      </c>
      <c r="F37" s="114">
        <v>273.6999077881398</v>
      </c>
      <c r="G37" s="114">
        <v>34.031706692966125</v>
      </c>
      <c r="H37" s="114">
        <v>816.56513462868816</v>
      </c>
      <c r="I37" s="114">
        <v>768.51140464339312</v>
      </c>
      <c r="J37" s="114">
        <v>329.02709613071983</v>
      </c>
      <c r="K37" s="114">
        <v>230.02050827712074</v>
      </c>
      <c r="L37" s="114">
        <v>386.22393535628521</v>
      </c>
    </row>
    <row r="38" spans="1:12" ht="15" customHeight="1" x14ac:dyDescent="0.2">
      <c r="A38" s="8" t="s">
        <v>339</v>
      </c>
      <c r="B38" s="114">
        <v>450.32367832438194</v>
      </c>
      <c r="C38" s="114">
        <v>1031.6410443124057</v>
      </c>
      <c r="D38" s="114">
        <v>453.64583536213291</v>
      </c>
      <c r="E38" s="114">
        <v>492.07772230673095</v>
      </c>
      <c r="F38" s="114">
        <v>311.22320735237599</v>
      </c>
      <c r="G38" s="114">
        <v>56.255582972838987</v>
      </c>
      <c r="H38" s="114">
        <v>1140.7372598237966</v>
      </c>
      <c r="I38" s="114">
        <v>1048.2225799933653</v>
      </c>
      <c r="J38" s="114">
        <v>414.76212520366909</v>
      </c>
      <c r="K38" s="114">
        <v>352.6912953056642</v>
      </c>
      <c r="L38" s="114">
        <v>460.69471825087408</v>
      </c>
    </row>
    <row r="39" spans="1:12" ht="15" customHeight="1" x14ac:dyDescent="0.2">
      <c r="A39" s="8" t="s">
        <v>340</v>
      </c>
      <c r="B39" s="114">
        <v>417.58448168797787</v>
      </c>
      <c r="C39" s="114">
        <v>1034.3225254803356</v>
      </c>
      <c r="D39" s="114">
        <v>437.56950928544887</v>
      </c>
      <c r="E39" s="114">
        <v>463.61407094181709</v>
      </c>
      <c r="F39" s="114">
        <v>258.78530967724834</v>
      </c>
      <c r="G39" s="114">
        <v>45.899918134861025</v>
      </c>
      <c r="H39" s="114">
        <v>965.68118097967772</v>
      </c>
      <c r="I39" s="114">
        <v>893.64534069181809</v>
      </c>
      <c r="J39" s="114">
        <v>351.62953264784801</v>
      </c>
      <c r="K39" s="114">
        <v>270.96146255070505</v>
      </c>
      <c r="L39" s="114">
        <v>422.97945416809608</v>
      </c>
    </row>
    <row r="40" spans="1:12" ht="15" customHeight="1" x14ac:dyDescent="0.2">
      <c r="A40" s="9" t="s">
        <v>384</v>
      </c>
      <c r="B40" s="115">
        <v>417.97033115138794</v>
      </c>
      <c r="C40" s="115">
        <v>1290.1708970122709</v>
      </c>
      <c r="D40" s="115">
        <v>473.98007460639809</v>
      </c>
      <c r="E40" s="115">
        <v>487.63206573361686</v>
      </c>
      <c r="F40" s="115">
        <v>268.04448891528472</v>
      </c>
      <c r="G40" s="115">
        <v>54.47523291735731</v>
      </c>
      <c r="H40" s="115">
        <v>942.56338044742245</v>
      </c>
      <c r="I40" s="115">
        <v>765.66689688201643</v>
      </c>
      <c r="J40" s="115">
        <v>352.47808983809313</v>
      </c>
      <c r="K40" s="115">
        <v>494.83670631327806</v>
      </c>
      <c r="L40" s="115">
        <v>440.78835362569635</v>
      </c>
    </row>
    <row r="41" spans="1:12" ht="15" customHeight="1" x14ac:dyDescent="0.2">
      <c r="A41" s="8"/>
      <c r="B41" s="120"/>
      <c r="C41" s="120"/>
      <c r="D41" s="120"/>
      <c r="E41" s="120"/>
      <c r="F41" s="120"/>
      <c r="G41" s="120"/>
      <c r="H41" s="120"/>
      <c r="I41" s="120"/>
      <c r="J41" s="120"/>
      <c r="K41" s="120"/>
      <c r="L41" s="120"/>
    </row>
    <row r="42" spans="1:12" ht="15" customHeight="1" x14ac:dyDescent="0.2">
      <c r="A42" s="10">
        <v>43831</v>
      </c>
      <c r="B42" s="12">
        <v>272.1366029068837</v>
      </c>
      <c r="C42" s="12">
        <v>605.64177798910498</v>
      </c>
      <c r="D42" s="12">
        <v>242.73941943886231</v>
      </c>
      <c r="E42" s="12">
        <v>256.81138791414338</v>
      </c>
      <c r="F42" s="12">
        <v>133.36403558662499</v>
      </c>
      <c r="G42" s="12">
        <v>30.07108744739681</v>
      </c>
      <c r="H42" s="12">
        <v>285.39307145953632</v>
      </c>
      <c r="I42" s="12">
        <v>386.70030302455575</v>
      </c>
      <c r="J42" s="12">
        <v>157.64491329249446</v>
      </c>
      <c r="K42" s="12">
        <v>161.4406221663809</v>
      </c>
      <c r="L42" s="12">
        <v>224.39196965987739</v>
      </c>
    </row>
    <row r="43" spans="1:12" ht="15" customHeight="1" x14ac:dyDescent="0.2">
      <c r="A43" s="10">
        <v>43862</v>
      </c>
      <c r="B43" s="12">
        <v>268.98655011261661</v>
      </c>
      <c r="C43" s="12">
        <v>423.40081759979864</v>
      </c>
      <c r="D43" s="12">
        <v>247.59630251149153</v>
      </c>
      <c r="E43" s="12">
        <v>249.9370260082203</v>
      </c>
      <c r="F43" s="12">
        <v>144.28076686472389</v>
      </c>
      <c r="G43" s="12">
        <v>34.83053957388006</v>
      </c>
      <c r="H43" s="12">
        <v>304.40817632975649</v>
      </c>
      <c r="I43" s="12">
        <v>396.14248642692115</v>
      </c>
      <c r="J43" s="12">
        <v>163.09049630175605</v>
      </c>
      <c r="K43" s="12">
        <v>146.0530692966789</v>
      </c>
      <c r="L43" s="12">
        <v>220.93067969210836</v>
      </c>
    </row>
    <row r="44" spans="1:12" ht="15" customHeight="1" x14ac:dyDescent="0.2">
      <c r="A44" s="10">
        <v>43891</v>
      </c>
      <c r="B44" s="12">
        <v>183.13368329301071</v>
      </c>
      <c r="C44" s="12">
        <v>276.247450475942</v>
      </c>
      <c r="D44" s="12">
        <v>192.12251573824443</v>
      </c>
      <c r="E44" s="12">
        <v>171.32693057061616</v>
      </c>
      <c r="F44" s="12">
        <v>85.288753383133908</v>
      </c>
      <c r="G44" s="12">
        <v>15.370241594227323</v>
      </c>
      <c r="H44" s="12">
        <v>233.65903322915921</v>
      </c>
      <c r="I44" s="12">
        <v>289.93269269692263</v>
      </c>
      <c r="J44" s="12">
        <v>104.51371808160626</v>
      </c>
      <c r="K44" s="12">
        <v>83.064205327762693</v>
      </c>
      <c r="L44" s="12">
        <v>149.48522017196333</v>
      </c>
    </row>
    <row r="45" spans="1:12" ht="15" customHeight="1" x14ac:dyDescent="0.2">
      <c r="A45" s="10">
        <v>43922</v>
      </c>
      <c r="B45" s="12">
        <v>39.851478206285066</v>
      </c>
      <c r="C45" s="12">
        <v>113.05924029255146</v>
      </c>
      <c r="D45" s="12">
        <v>89.070191268639277</v>
      </c>
      <c r="E45" s="12">
        <v>54.081267610292386</v>
      </c>
      <c r="F45" s="12">
        <v>111.54948039025717</v>
      </c>
      <c r="G45" s="12">
        <v>18.602895178439585</v>
      </c>
      <c r="H45" s="12">
        <v>176.73802268703525</v>
      </c>
      <c r="I45" s="12">
        <v>141.65307249068138</v>
      </c>
      <c r="J45" s="12">
        <v>106.97072717890008</v>
      </c>
      <c r="K45" s="12">
        <v>81.809639082374318</v>
      </c>
      <c r="L45" s="12">
        <v>67.099801224514039</v>
      </c>
    </row>
    <row r="46" spans="1:12" ht="15" customHeight="1" x14ac:dyDescent="0.2">
      <c r="A46" s="10">
        <v>43952</v>
      </c>
      <c r="B46" s="12">
        <v>130.87688989260548</v>
      </c>
      <c r="C46" s="12">
        <v>80.322469956215585</v>
      </c>
      <c r="D46" s="12">
        <v>176.88948123450831</v>
      </c>
      <c r="E46" s="12">
        <v>131.24283192980357</v>
      </c>
      <c r="F46" s="12">
        <v>149.96254531072975</v>
      </c>
      <c r="G46" s="12">
        <v>20.844938109859914</v>
      </c>
      <c r="H46" s="12">
        <v>335.29881102869501</v>
      </c>
      <c r="I46" s="12">
        <v>283.92273697538815</v>
      </c>
      <c r="J46" s="12">
        <v>158.29802938307222</v>
      </c>
      <c r="K46" s="12">
        <v>184.83543179409992</v>
      </c>
      <c r="L46" s="12">
        <v>135.67428779237096</v>
      </c>
    </row>
    <row r="47" spans="1:12" ht="15" customHeight="1" x14ac:dyDescent="0.2">
      <c r="A47" s="10">
        <v>43983</v>
      </c>
      <c r="B47" s="12">
        <v>237.55280644207824</v>
      </c>
      <c r="C47" s="12">
        <v>125.21632479853281</v>
      </c>
      <c r="D47" s="12">
        <v>233.92568096957157</v>
      </c>
      <c r="E47" s="12">
        <v>214.25456696651833</v>
      </c>
      <c r="F47" s="12">
        <v>157.53980486979157</v>
      </c>
      <c r="G47" s="12">
        <v>32.909613374854999</v>
      </c>
      <c r="H47" s="12">
        <v>407.88763046940545</v>
      </c>
      <c r="I47" s="12">
        <v>442.93805956727851</v>
      </c>
      <c r="J47" s="12">
        <v>196.15939562563796</v>
      </c>
      <c r="K47" s="12">
        <v>132.49513645437196</v>
      </c>
      <c r="L47" s="12">
        <v>204.67035301782528</v>
      </c>
    </row>
    <row r="48" spans="1:12" ht="15" customHeight="1" x14ac:dyDescent="0.2">
      <c r="A48" s="10">
        <v>44013</v>
      </c>
      <c r="B48" s="12">
        <v>275.93435840655826</v>
      </c>
      <c r="C48" s="12">
        <v>199.94401018792308</v>
      </c>
      <c r="D48" s="12">
        <v>291.22724823506451</v>
      </c>
      <c r="E48" s="12">
        <v>265.30363992478965</v>
      </c>
      <c r="F48" s="12">
        <v>179.36868655122095</v>
      </c>
      <c r="G48" s="12">
        <v>32.981726650789497</v>
      </c>
      <c r="H48" s="12">
        <v>485.84816269276553</v>
      </c>
      <c r="I48" s="12">
        <v>482.97075564270148</v>
      </c>
      <c r="J48" s="12">
        <v>223.46451400253022</v>
      </c>
      <c r="K48" s="12">
        <v>237.04261362353662</v>
      </c>
      <c r="L48" s="12">
        <v>248.22339253456911</v>
      </c>
    </row>
    <row r="49" spans="1:12" ht="15" customHeight="1" x14ac:dyDescent="0.2">
      <c r="A49" s="10">
        <v>44044</v>
      </c>
      <c r="B49" s="12">
        <v>257.48132859388994</v>
      </c>
      <c r="C49" s="12">
        <v>163.73664430323959</v>
      </c>
      <c r="D49" s="12">
        <v>250.33834814580894</v>
      </c>
      <c r="E49" s="12">
        <v>234.83253044146542</v>
      </c>
      <c r="F49" s="12">
        <v>140.34602905818264</v>
      </c>
      <c r="G49" s="12">
        <v>16.993101878133409</v>
      </c>
      <c r="H49" s="12">
        <v>401.92606754183936</v>
      </c>
      <c r="I49" s="12">
        <v>331.61266116058783</v>
      </c>
      <c r="J49" s="12">
        <v>183.75573019331051</v>
      </c>
      <c r="K49" s="12">
        <v>131.20556443595203</v>
      </c>
      <c r="L49" s="12">
        <v>215.58691560067297</v>
      </c>
    </row>
    <row r="50" spans="1:12" ht="15" customHeight="1" x14ac:dyDescent="0.2">
      <c r="A50" s="10">
        <v>44075</v>
      </c>
      <c r="B50" s="12">
        <v>253.97095000330933</v>
      </c>
      <c r="C50" s="12">
        <v>213.68254272475971</v>
      </c>
      <c r="D50" s="12">
        <v>275.12389024588265</v>
      </c>
      <c r="E50" s="12">
        <v>249.69634237181509</v>
      </c>
      <c r="F50" s="12">
        <v>155.47831524933707</v>
      </c>
      <c r="G50" s="12">
        <v>23.398645836679307</v>
      </c>
      <c r="H50" s="12">
        <v>424.1113981659604</v>
      </c>
      <c r="I50" s="12">
        <v>296.88413075864389</v>
      </c>
      <c r="J50" s="12">
        <v>189.5446836227145</v>
      </c>
      <c r="K50" s="12">
        <v>135.50972479207846</v>
      </c>
      <c r="L50" s="12">
        <v>227.77677543301951</v>
      </c>
    </row>
    <row r="51" spans="1:12" ht="15" customHeight="1" x14ac:dyDescent="0.2">
      <c r="A51" s="10">
        <v>44105</v>
      </c>
      <c r="B51" s="12">
        <v>209.08679520585684</v>
      </c>
      <c r="C51" s="12">
        <v>181.13022509156283</v>
      </c>
      <c r="D51" s="12">
        <v>273.96541331641231</v>
      </c>
      <c r="E51" s="12">
        <v>205.37506054886518</v>
      </c>
      <c r="F51" s="12">
        <v>152.56644205304218</v>
      </c>
      <c r="G51" s="12">
        <v>27.026092392815588</v>
      </c>
      <c r="H51" s="12">
        <v>384.13259324734469</v>
      </c>
      <c r="I51" s="12">
        <v>239.00312935219492</v>
      </c>
      <c r="J51" s="12">
        <v>179.51791958917684</v>
      </c>
      <c r="K51" s="12">
        <v>176.88630490553211</v>
      </c>
      <c r="L51" s="12">
        <v>193.95146308528405</v>
      </c>
    </row>
    <row r="52" spans="1:12" ht="15" customHeight="1" x14ac:dyDescent="0.2">
      <c r="A52" s="10">
        <v>44136</v>
      </c>
      <c r="B52" s="12">
        <v>190.78212778260044</v>
      </c>
      <c r="C52" s="12">
        <v>158.46847857130143</v>
      </c>
      <c r="D52" s="12">
        <v>233.8494961068408</v>
      </c>
      <c r="E52" s="12">
        <v>192.32521687009842</v>
      </c>
      <c r="F52" s="12">
        <v>131.03764777264973</v>
      </c>
      <c r="G52" s="12">
        <v>36.093670699054762</v>
      </c>
      <c r="H52" s="12">
        <v>338.60616642583108</v>
      </c>
      <c r="I52" s="12">
        <v>207.69960217260061</v>
      </c>
      <c r="J52" s="12">
        <v>155.75210551203534</v>
      </c>
      <c r="K52" s="12">
        <v>189.39040558936478</v>
      </c>
      <c r="L52" s="12">
        <v>178.25621188223383</v>
      </c>
    </row>
    <row r="53" spans="1:12" ht="15" customHeight="1" x14ac:dyDescent="0.2">
      <c r="A53" s="10">
        <v>44166</v>
      </c>
      <c r="B53" s="12">
        <v>267.62973957961339</v>
      </c>
      <c r="C53" s="12">
        <v>235.26481314862332</v>
      </c>
      <c r="D53" s="12">
        <v>267.35839208006394</v>
      </c>
      <c r="E53" s="12">
        <v>246.38014444215921</v>
      </c>
      <c r="F53" s="12">
        <v>155.87540068425719</v>
      </c>
      <c r="G53" s="12">
        <v>52.762271354164639</v>
      </c>
      <c r="H53" s="12">
        <v>321.09672210343888</v>
      </c>
      <c r="I53" s="12">
        <v>203.95296884662068</v>
      </c>
      <c r="J53" s="12">
        <v>175.22132862727136</v>
      </c>
      <c r="K53" s="12">
        <v>380.58902026538067</v>
      </c>
      <c r="L53" s="12">
        <v>222.22332971554351</v>
      </c>
    </row>
    <row r="54" spans="1:12" ht="15" customHeight="1" x14ac:dyDescent="0.2">
      <c r="A54" s="11">
        <v>44197</v>
      </c>
      <c r="B54" s="120">
        <v>254.99654163879941</v>
      </c>
      <c r="C54" s="120">
        <v>264.21841240743714</v>
      </c>
      <c r="D54" s="120">
        <v>291.38590006309971</v>
      </c>
      <c r="E54" s="120">
        <v>243.03395065880994</v>
      </c>
      <c r="F54" s="120">
        <v>141.80579762262823</v>
      </c>
      <c r="G54" s="120">
        <v>45.915788295883715</v>
      </c>
      <c r="H54" s="120">
        <v>294.83987509612189</v>
      </c>
      <c r="I54" s="120">
        <v>228.36063411724658</v>
      </c>
      <c r="J54" s="120">
        <v>175.36812429840401</v>
      </c>
      <c r="K54" s="120">
        <v>289.78829329704467</v>
      </c>
      <c r="L54" s="120">
        <v>219.63640328567436</v>
      </c>
    </row>
    <row r="55" spans="1:12" ht="15" customHeight="1" x14ac:dyDescent="0.2">
      <c r="A55" s="11">
        <v>44228</v>
      </c>
      <c r="B55" s="120">
        <v>272.27369176048984</v>
      </c>
      <c r="C55" s="120">
        <v>177.40182660011197</v>
      </c>
      <c r="D55" s="120">
        <v>299.5511248065734</v>
      </c>
      <c r="E55" s="120">
        <v>250.30777386048194</v>
      </c>
      <c r="F55" s="120">
        <v>160.98202994901527</v>
      </c>
      <c r="G55" s="120">
        <v>32.431283268398552</v>
      </c>
      <c r="H55" s="120">
        <v>384.29650598347706</v>
      </c>
      <c r="I55" s="120">
        <v>266.27003133505889</v>
      </c>
      <c r="J55" s="120">
        <v>184.53542712426861</v>
      </c>
      <c r="K55" s="120">
        <v>309.84267062532297</v>
      </c>
      <c r="L55" s="120">
        <v>227.35623159338689</v>
      </c>
    </row>
    <row r="56" spans="1:12" ht="15" customHeight="1" x14ac:dyDescent="0.2">
      <c r="A56" s="11">
        <v>44256</v>
      </c>
      <c r="B56" s="120">
        <v>291.25278310653658</v>
      </c>
      <c r="C56" s="120">
        <v>228.4560993850954</v>
      </c>
      <c r="D56" s="120">
        <v>357.37113189953419</v>
      </c>
      <c r="E56" s="120">
        <v>284.77494227967719</v>
      </c>
      <c r="F56" s="120">
        <v>180.93043980116761</v>
      </c>
      <c r="G56" s="120">
        <v>66.912991345014618</v>
      </c>
      <c r="H56" s="120">
        <v>520.41773608534857</v>
      </c>
      <c r="I56" s="120">
        <v>426.59671180770306</v>
      </c>
      <c r="J56" s="120">
        <v>233.34779710874793</v>
      </c>
      <c r="K56" s="120">
        <v>402.96000643848589</v>
      </c>
      <c r="L56" s="120">
        <v>265.2162850657233</v>
      </c>
    </row>
    <row r="57" spans="1:12" ht="15" customHeight="1" x14ac:dyDescent="0.2">
      <c r="A57" s="11">
        <v>44287</v>
      </c>
      <c r="B57" s="120">
        <v>228.65111819350653</v>
      </c>
      <c r="C57" s="120">
        <v>288.84434161799675</v>
      </c>
      <c r="D57" s="120">
        <v>231.70306772894176</v>
      </c>
      <c r="E57" s="120">
        <v>222.56183342218787</v>
      </c>
      <c r="F57" s="120">
        <v>115.33886478366598</v>
      </c>
      <c r="G57" s="120">
        <v>38.550529533535041</v>
      </c>
      <c r="H57" s="120">
        <v>345.69805234039239</v>
      </c>
      <c r="I57" s="120">
        <v>285.1081363712504</v>
      </c>
      <c r="J57" s="120">
        <v>150.5641024453476</v>
      </c>
      <c r="K57" s="120">
        <v>362.14423243537686</v>
      </c>
      <c r="L57" s="120">
        <v>198.83547598209205</v>
      </c>
    </row>
    <row r="58" spans="1:12" ht="15" customHeight="1" x14ac:dyDescent="0.2">
      <c r="A58" s="11">
        <v>44317</v>
      </c>
      <c r="B58" s="120">
        <v>235.23077012611591</v>
      </c>
      <c r="C58" s="120">
        <v>267.65653324774229</v>
      </c>
      <c r="D58" s="120">
        <v>338.42667210065247</v>
      </c>
      <c r="E58" s="120">
        <v>238.873199859659</v>
      </c>
      <c r="F58" s="120">
        <v>160.7042850202491</v>
      </c>
      <c r="G58" s="120">
        <v>27.548089139136671</v>
      </c>
      <c r="H58" s="120">
        <v>435.4197918153011</v>
      </c>
      <c r="I58" s="120">
        <v>293.47090530733396</v>
      </c>
      <c r="J58" s="120">
        <v>183.10783016905822</v>
      </c>
      <c r="K58" s="120">
        <v>390.68071121229872</v>
      </c>
      <c r="L58" s="120">
        <v>219.07488188302983</v>
      </c>
    </row>
    <row r="59" spans="1:12" ht="15" customHeight="1" x14ac:dyDescent="0.2">
      <c r="A59" s="11">
        <v>44348</v>
      </c>
      <c r="B59" s="120">
        <v>262.73767641738783</v>
      </c>
      <c r="C59" s="120">
        <v>332.76813884413644</v>
      </c>
      <c r="D59" s="120">
        <v>353.74722237184483</v>
      </c>
      <c r="E59" s="120">
        <v>268.54113425037963</v>
      </c>
      <c r="F59" s="120">
        <v>182.51484009190469</v>
      </c>
      <c r="G59" s="120">
        <v>32.363757946061391</v>
      </c>
      <c r="H59" s="120">
        <v>493.83602199834797</v>
      </c>
      <c r="I59" s="120">
        <v>263.76339019435977</v>
      </c>
      <c r="J59" s="120">
        <v>211.84587871644933</v>
      </c>
      <c r="K59" s="120">
        <v>387.74173087523866</v>
      </c>
      <c r="L59" s="120">
        <v>247.69160919816699</v>
      </c>
    </row>
    <row r="60" spans="1:12" ht="15" customHeight="1" x14ac:dyDescent="0.2">
      <c r="A60" s="11">
        <v>44378</v>
      </c>
      <c r="B60" s="120">
        <v>287.39466215624594</v>
      </c>
      <c r="C60" s="120">
        <v>418.91061980069026</v>
      </c>
      <c r="D60" s="120">
        <v>356.06779763508354</v>
      </c>
      <c r="E60" s="120">
        <v>288.87839661057143</v>
      </c>
      <c r="F60" s="120">
        <v>169.70469861630826</v>
      </c>
      <c r="G60" s="120">
        <v>39.83953857517448</v>
      </c>
      <c r="H60" s="120">
        <v>520.35786443731331</v>
      </c>
      <c r="I60" s="120">
        <v>448.91922267194121</v>
      </c>
      <c r="J60" s="120">
        <v>245.90725679404846</v>
      </c>
      <c r="K60" s="120">
        <v>237.52993148953902</v>
      </c>
      <c r="L60" s="120">
        <v>271.75007764829445</v>
      </c>
    </row>
    <row r="61" spans="1:12" ht="15" customHeight="1" x14ac:dyDescent="0.2">
      <c r="A61" s="11">
        <v>44409</v>
      </c>
      <c r="B61" s="120">
        <v>312.9870431109095</v>
      </c>
      <c r="C61" s="120">
        <v>374.034062614449</v>
      </c>
      <c r="D61" s="120">
        <v>338.70552274838434</v>
      </c>
      <c r="E61" s="120">
        <v>299.51609927019081</v>
      </c>
      <c r="F61" s="120">
        <v>172.60714157719607</v>
      </c>
      <c r="G61" s="120">
        <v>45.898887231374893</v>
      </c>
      <c r="H61" s="120">
        <v>514.80540265259299</v>
      </c>
      <c r="I61" s="120">
        <v>467.11626695339567</v>
      </c>
      <c r="J61" s="120">
        <v>221.02760192862684</v>
      </c>
      <c r="K61" s="120">
        <v>275.09199917984387</v>
      </c>
      <c r="L61" s="120">
        <v>271.73956545656932</v>
      </c>
    </row>
    <row r="62" spans="1:12" ht="15" customHeight="1" x14ac:dyDescent="0.2">
      <c r="A62" s="11">
        <v>44440</v>
      </c>
      <c r="B62" s="120">
        <v>293.0746016218356</v>
      </c>
      <c r="C62" s="120">
        <v>437.61932839051451</v>
      </c>
      <c r="D62" s="120">
        <v>350.10693818991263</v>
      </c>
      <c r="E62" s="120">
        <v>284.63346051910906</v>
      </c>
      <c r="F62" s="120">
        <v>155.02361250191564</v>
      </c>
      <c r="G62" s="120">
        <v>64.189204644621142</v>
      </c>
      <c r="H62" s="120">
        <v>463.20490056452786</v>
      </c>
      <c r="I62" s="120">
        <v>398.90732070490128</v>
      </c>
      <c r="J62" s="120">
        <v>205.71786317149505</v>
      </c>
      <c r="K62" s="120">
        <v>271.97261128221658</v>
      </c>
      <c r="L62" s="120">
        <v>257.2044673035424</v>
      </c>
    </row>
    <row r="63" spans="1:12" ht="15" customHeight="1" x14ac:dyDescent="0.2">
      <c r="A63" s="11">
        <v>44470</v>
      </c>
      <c r="B63" s="120">
        <v>324.91819826467901</v>
      </c>
      <c r="C63" s="120">
        <v>386.89753207831041</v>
      </c>
      <c r="D63" s="120">
        <v>340.05467987016141</v>
      </c>
      <c r="E63" s="120">
        <v>331.70767520852405</v>
      </c>
      <c r="F63" s="120">
        <v>162.3635936133129</v>
      </c>
      <c r="G63" s="120">
        <v>39.344348771908152</v>
      </c>
      <c r="H63" s="120">
        <v>519.84988015496128</v>
      </c>
      <c r="I63" s="120">
        <v>447.90996984948742</v>
      </c>
      <c r="J63" s="120">
        <v>223.68638768798149</v>
      </c>
      <c r="K63" s="120">
        <v>192.16954236800368</v>
      </c>
      <c r="L63" s="120">
        <v>295.14408274044564</v>
      </c>
    </row>
    <row r="64" spans="1:12" ht="15" customHeight="1" x14ac:dyDescent="0.2">
      <c r="A64" s="11">
        <v>44501</v>
      </c>
      <c r="B64" s="120">
        <v>318.17957311072735</v>
      </c>
      <c r="C64" s="120">
        <v>480.74500298453137</v>
      </c>
      <c r="D64" s="120">
        <v>380.64822694972122</v>
      </c>
      <c r="E64" s="120">
        <v>328.97464466483507</v>
      </c>
      <c r="F64" s="120">
        <v>175.05216853023333</v>
      </c>
      <c r="G64" s="120">
        <v>40.636035621306966</v>
      </c>
      <c r="H64" s="120">
        <v>527.71374634648487</v>
      </c>
      <c r="I64" s="120">
        <v>508.09544912349611</v>
      </c>
      <c r="J64" s="120">
        <v>249.94816921876827</v>
      </c>
      <c r="K64" s="120">
        <v>308.28354122921667</v>
      </c>
      <c r="L64" s="120">
        <v>301.02580981842834</v>
      </c>
    </row>
    <row r="65" spans="1:12" ht="15" customHeight="1" x14ac:dyDescent="0.2">
      <c r="A65" s="11">
        <v>44531</v>
      </c>
      <c r="B65" s="120">
        <v>339.82780124902899</v>
      </c>
      <c r="C65" s="120">
        <v>413.94281568754224</v>
      </c>
      <c r="D65" s="120">
        <v>346.66280938759348</v>
      </c>
      <c r="E65" s="120">
        <v>321.66558796574844</v>
      </c>
      <c r="F65" s="120">
        <v>164.23706560765254</v>
      </c>
      <c r="G65" s="120">
        <v>39.738689947274246</v>
      </c>
      <c r="H65" s="120">
        <v>405.03717151381954</v>
      </c>
      <c r="I65" s="120">
        <v>371.17179608542017</v>
      </c>
      <c r="J65" s="120">
        <v>215.40075278743572</v>
      </c>
      <c r="K65" s="120">
        <v>445.64730267943963</v>
      </c>
      <c r="L65" s="120">
        <v>286.66015593701627</v>
      </c>
    </row>
    <row r="66" spans="1:12" ht="15" customHeight="1" x14ac:dyDescent="0.2">
      <c r="A66" s="10">
        <v>44562</v>
      </c>
      <c r="B66" s="12">
        <v>329.05860225774813</v>
      </c>
      <c r="C66" s="12">
        <v>545.57136729098477</v>
      </c>
      <c r="D66" s="12">
        <v>315.03347912055011</v>
      </c>
      <c r="E66" s="12">
        <v>313.07804601849904</v>
      </c>
      <c r="F66" s="12">
        <v>135.47664397915779</v>
      </c>
      <c r="G66" s="12">
        <v>62.825589356295247</v>
      </c>
      <c r="H66" s="12">
        <v>430.15657600294475</v>
      </c>
      <c r="I66" s="12">
        <v>335.60210289928222</v>
      </c>
      <c r="J66" s="12">
        <v>189.70000612136255</v>
      </c>
      <c r="K66" s="12">
        <v>380.13602685346541</v>
      </c>
      <c r="L66" s="12">
        <v>273.44080307537138</v>
      </c>
    </row>
    <row r="67" spans="1:12" ht="15" customHeight="1" x14ac:dyDescent="0.2">
      <c r="A67" s="10">
        <v>44593</v>
      </c>
      <c r="B67" s="12">
        <v>316.9280300467455</v>
      </c>
      <c r="C67" s="12">
        <v>462.17268278219058</v>
      </c>
      <c r="D67" s="12">
        <v>339.73668224903861</v>
      </c>
      <c r="E67" s="12">
        <v>311.22563048116933</v>
      </c>
      <c r="F67" s="12">
        <v>149.98757066618799</v>
      </c>
      <c r="G67" s="12">
        <v>59.993335017138598</v>
      </c>
      <c r="H67" s="12">
        <v>448.22967788971312</v>
      </c>
      <c r="I67" s="12">
        <v>292.54525397251979</v>
      </c>
      <c r="J67" s="12">
        <v>187.70667472833432</v>
      </c>
      <c r="K67" s="12">
        <v>363.08912498074335</v>
      </c>
      <c r="L67" s="12">
        <v>271.50836818401058</v>
      </c>
    </row>
    <row r="68" spans="1:12" ht="15" customHeight="1" x14ac:dyDescent="0.2">
      <c r="A68" s="10">
        <v>44621</v>
      </c>
      <c r="B68" s="12">
        <v>375.98778885402737</v>
      </c>
      <c r="C68" s="12">
        <v>572.9181551922062</v>
      </c>
      <c r="D68" s="12">
        <v>396.65738962673458</v>
      </c>
      <c r="E68" s="12">
        <v>381.19418728547919</v>
      </c>
      <c r="F68" s="12">
        <v>178.53445309006869</v>
      </c>
      <c r="G68" s="12">
        <v>73.664679126102868</v>
      </c>
      <c r="H68" s="12">
        <v>601.98451900637485</v>
      </c>
      <c r="I68" s="12">
        <v>476.72039292421778</v>
      </c>
      <c r="J68" s="12">
        <v>234.67549773518957</v>
      </c>
      <c r="K68" s="12">
        <v>224.40385364598123</v>
      </c>
      <c r="L68" s="12">
        <v>333.22701714978427</v>
      </c>
    </row>
    <row r="69" spans="1:12" ht="15" customHeight="1" x14ac:dyDescent="0.2">
      <c r="A69" s="10">
        <v>44652</v>
      </c>
      <c r="B69" s="12">
        <v>452.5483458751587</v>
      </c>
      <c r="C69" s="12">
        <v>753.51304616774155</v>
      </c>
      <c r="D69" s="12">
        <v>414.928693905876</v>
      </c>
      <c r="E69" s="12">
        <v>439.75179460908703</v>
      </c>
      <c r="F69" s="12">
        <v>189.41913328966891</v>
      </c>
      <c r="G69" s="12">
        <v>61.642948496733553</v>
      </c>
      <c r="H69" s="12">
        <v>696.66930089523839</v>
      </c>
      <c r="I69" s="12">
        <v>704.94152037486344</v>
      </c>
      <c r="J69" s="12">
        <v>261.3248140532487</v>
      </c>
      <c r="K69" s="12">
        <v>268.50069362759547</v>
      </c>
      <c r="L69" s="12">
        <v>381.7790137875437</v>
      </c>
    </row>
    <row r="70" spans="1:12" ht="15" customHeight="1" x14ac:dyDescent="0.2">
      <c r="A70" s="10">
        <v>44682</v>
      </c>
      <c r="B70" s="12">
        <v>549.64948504114432</v>
      </c>
      <c r="C70" s="12">
        <v>767.74169997964634</v>
      </c>
      <c r="D70" s="12">
        <v>506.4342185996581</v>
      </c>
      <c r="E70" s="12">
        <v>534.15738195275526</v>
      </c>
      <c r="F70" s="12">
        <v>247.88724873639296</v>
      </c>
      <c r="G70" s="12">
        <v>59.265307212304911</v>
      </c>
      <c r="H70" s="12">
        <v>840.06476541026575</v>
      </c>
      <c r="I70" s="12">
        <v>944.61317629379369</v>
      </c>
      <c r="J70" s="12">
        <v>315.54799024653494</v>
      </c>
      <c r="K70" s="12">
        <v>292.39273639315752</v>
      </c>
      <c r="L70" s="12">
        <v>463.18187280297371</v>
      </c>
    </row>
    <row r="71" spans="1:12" ht="15" customHeight="1" x14ac:dyDescent="0.2">
      <c r="A71" s="10">
        <v>44713</v>
      </c>
      <c r="B71" s="12">
        <v>648.41265952546382</v>
      </c>
      <c r="C71" s="12">
        <v>787.95171309907562</v>
      </c>
      <c r="D71" s="12">
        <v>683.68274730804274</v>
      </c>
      <c r="E71" s="12">
        <v>622.13772796970329</v>
      </c>
      <c r="F71" s="12">
        <v>309.30358827132352</v>
      </c>
      <c r="G71" s="12">
        <v>62.03349309790444</v>
      </c>
      <c r="H71" s="12">
        <v>935.34135345215293</v>
      </c>
      <c r="I71" s="12">
        <v>966.96937221926339</v>
      </c>
      <c r="J71" s="12">
        <v>417.17091319133766</v>
      </c>
      <c r="K71" s="12">
        <v>456.01314585405697</v>
      </c>
      <c r="L71" s="12">
        <v>553.76278512254896</v>
      </c>
    </row>
    <row r="72" spans="1:12" ht="15" customHeight="1" x14ac:dyDescent="0.2">
      <c r="A72" s="10">
        <v>44743</v>
      </c>
      <c r="B72" s="12">
        <v>629.77798564587499</v>
      </c>
      <c r="C72" s="12">
        <v>469.10800551324849</v>
      </c>
      <c r="D72" s="12">
        <v>594.16837569678023</v>
      </c>
      <c r="E72" s="12">
        <v>586.73068475452885</v>
      </c>
      <c r="F72" s="12">
        <v>312.63295661267546</v>
      </c>
      <c r="G72" s="12">
        <v>63.914533909890096</v>
      </c>
      <c r="H72" s="12">
        <v>764.27032240863468</v>
      </c>
      <c r="I72" s="12">
        <v>844.19930331858325</v>
      </c>
      <c r="J72" s="12">
        <v>379.33028038606778</v>
      </c>
      <c r="K72" s="12">
        <v>245.3087505493645</v>
      </c>
      <c r="L72" s="12">
        <v>517.33863957556821</v>
      </c>
    </row>
    <row r="73" spans="1:12" ht="15" customHeight="1" x14ac:dyDescent="0.2">
      <c r="A73" s="10">
        <v>44774</v>
      </c>
      <c r="B73" s="12">
        <v>647.6698178344468</v>
      </c>
      <c r="C73" s="12">
        <v>469.90882395964809</v>
      </c>
      <c r="D73" s="12">
        <v>664.7694103078594</v>
      </c>
      <c r="E73" s="12">
        <v>607.74933516229839</v>
      </c>
      <c r="F73" s="12">
        <v>331.04955681603582</v>
      </c>
      <c r="G73" s="12">
        <v>71.875870019685081</v>
      </c>
      <c r="H73" s="12">
        <v>820.19173124080305</v>
      </c>
      <c r="I73" s="12">
        <v>1099.1328763321364</v>
      </c>
      <c r="J73" s="12">
        <v>422.57735076687538</v>
      </c>
      <c r="K73" s="12">
        <v>389.76596538717052</v>
      </c>
      <c r="L73" s="12">
        <v>544.52474939052649</v>
      </c>
    </row>
    <row r="74" spans="1:12" ht="15" customHeight="1" x14ac:dyDescent="0.2">
      <c r="A74" s="10">
        <v>44805</v>
      </c>
      <c r="B74" s="12">
        <v>552.24934069816129</v>
      </c>
      <c r="C74" s="12">
        <v>438.8488901588268</v>
      </c>
      <c r="D74" s="12">
        <v>544.90316738992703</v>
      </c>
      <c r="E74" s="12">
        <v>532.71009233806762</v>
      </c>
      <c r="F74" s="12">
        <v>314.71170998589929</v>
      </c>
      <c r="G74" s="12">
        <v>73.624424616617944</v>
      </c>
      <c r="H74" s="12">
        <v>688.83513364359794</v>
      </c>
      <c r="I74" s="12">
        <v>999.95148708684917</v>
      </c>
      <c r="J74" s="12">
        <v>385.79433268058841</v>
      </c>
      <c r="K74" s="12">
        <v>479.82081197843587</v>
      </c>
      <c r="L74" s="12">
        <v>481.69006661228264</v>
      </c>
    </row>
    <row r="75" spans="1:12" ht="15" customHeight="1" x14ac:dyDescent="0.2">
      <c r="A75" s="10">
        <v>44835</v>
      </c>
      <c r="B75" s="12">
        <v>509.74242900406131</v>
      </c>
      <c r="C75" s="12">
        <v>553.85126995989901</v>
      </c>
      <c r="D75" s="12">
        <v>574.12982787432486</v>
      </c>
      <c r="E75" s="12">
        <v>519.39014116531712</v>
      </c>
      <c r="F75" s="12">
        <v>290.99079675902857</v>
      </c>
      <c r="G75" s="12">
        <v>75.369699704949625</v>
      </c>
      <c r="H75" s="12">
        <v>880.90481856899407</v>
      </c>
      <c r="I75" s="12">
        <v>810.19106790825208</v>
      </c>
      <c r="J75" s="12">
        <v>377.16256803311535</v>
      </c>
      <c r="K75" s="12">
        <v>507.98980046115679</v>
      </c>
      <c r="L75" s="12">
        <v>470.07243863293411</v>
      </c>
    </row>
    <row r="76" spans="1:12" ht="15" customHeight="1" x14ac:dyDescent="0.2">
      <c r="A76" s="10">
        <v>44866</v>
      </c>
      <c r="B76" s="12">
        <v>517.26659418068107</v>
      </c>
      <c r="C76" s="12">
        <v>599.84397190564971</v>
      </c>
      <c r="D76" s="12">
        <v>469.313390473759</v>
      </c>
      <c r="E76" s="12">
        <v>501.46020964077081</v>
      </c>
      <c r="F76" s="12">
        <v>283.06305747857175</v>
      </c>
      <c r="G76" s="12">
        <v>44.900124138902854</v>
      </c>
      <c r="H76" s="12">
        <v>550.46670364174702</v>
      </c>
      <c r="I76" s="12">
        <v>753.64757839945889</v>
      </c>
      <c r="J76" s="12">
        <v>333.39032685786941</v>
      </c>
      <c r="K76" s="12">
        <v>274.51166791443814</v>
      </c>
      <c r="L76" s="12">
        <v>445.2358719804634</v>
      </c>
    </row>
    <row r="77" spans="1:12" ht="15" customHeight="1" x14ac:dyDescent="0.2">
      <c r="A77" s="10">
        <v>44896</v>
      </c>
      <c r="B77" s="12">
        <v>553.3939636854991</v>
      </c>
      <c r="C77" s="12">
        <v>723.36808782842343</v>
      </c>
      <c r="D77" s="12">
        <v>493.33620768623217</v>
      </c>
      <c r="E77" s="12">
        <v>532.03462664158928</v>
      </c>
      <c r="F77" s="12">
        <v>287.23738519687413</v>
      </c>
      <c r="G77" s="12">
        <v>71.802204872828185</v>
      </c>
      <c r="H77" s="12">
        <v>577.05934739739928</v>
      </c>
      <c r="I77" s="12">
        <v>588.34220381968748</v>
      </c>
      <c r="J77" s="12">
        <v>340.15047865837312</v>
      </c>
      <c r="K77" s="12">
        <v>3331.9741808570425</v>
      </c>
      <c r="L77" s="12">
        <v>477.25983345591362</v>
      </c>
    </row>
    <row r="78" spans="1:12" ht="15" customHeight="1" x14ac:dyDescent="0.2">
      <c r="A78" s="11">
        <v>44927</v>
      </c>
      <c r="B78" s="120">
        <v>486.76744568743408</v>
      </c>
      <c r="C78" s="120">
        <v>678.48572031519336</v>
      </c>
      <c r="D78" s="120">
        <v>502.1314314912924</v>
      </c>
      <c r="E78" s="120">
        <v>493.31623979300633</v>
      </c>
      <c r="F78" s="120">
        <v>265.98424207120212</v>
      </c>
      <c r="G78" s="120">
        <v>70.9854220264167</v>
      </c>
      <c r="H78" s="120">
        <v>510.21980874018232</v>
      </c>
      <c r="I78" s="120">
        <v>435.25709966199707</v>
      </c>
      <c r="J78" s="120">
        <v>318.65160745591032</v>
      </c>
      <c r="K78" s="120">
        <v>576.00321112847928</v>
      </c>
      <c r="L78" s="120">
        <v>436.3897158026723</v>
      </c>
    </row>
    <row r="79" spans="1:12" ht="15" customHeight="1" x14ac:dyDescent="0.2">
      <c r="A79" s="11">
        <v>44958</v>
      </c>
      <c r="B79" s="120">
        <v>494.08615278847788</v>
      </c>
      <c r="C79" s="120">
        <v>648.29098357793782</v>
      </c>
      <c r="D79" s="120">
        <v>501.74158584571938</v>
      </c>
      <c r="E79" s="120">
        <v>490.05600443262756</v>
      </c>
      <c r="F79" s="120">
        <v>279.00322434082341</v>
      </c>
      <c r="G79" s="120">
        <v>85.943166499282384</v>
      </c>
      <c r="H79" s="120">
        <v>580.23437926576003</v>
      </c>
      <c r="I79" s="120">
        <v>476.79786447822988</v>
      </c>
      <c r="J79" s="120">
        <v>335.37197962178777</v>
      </c>
      <c r="K79" s="120">
        <v>254.83260268473094</v>
      </c>
      <c r="L79" s="120">
        <v>437.54167665787571</v>
      </c>
    </row>
    <row r="80" spans="1:12" ht="15" customHeight="1" x14ac:dyDescent="0.2">
      <c r="A80" s="11">
        <v>44986</v>
      </c>
      <c r="B80" s="120">
        <v>435.04302142542412</v>
      </c>
      <c r="C80" s="120">
        <v>522.42532731665619</v>
      </c>
      <c r="D80" s="120">
        <v>549.52904000798537</v>
      </c>
      <c r="E80" s="120">
        <v>468.61646219413757</v>
      </c>
      <c r="F80" s="120">
        <v>267.51075538415517</v>
      </c>
      <c r="G80" s="120">
        <v>75.20941280278528</v>
      </c>
      <c r="H80" s="120">
        <v>607.4078545894256</v>
      </c>
      <c r="I80" s="120">
        <v>448.64532886171094</v>
      </c>
      <c r="J80" s="120">
        <v>327.69265147212559</v>
      </c>
      <c r="K80" s="120">
        <v>356.32592813565924</v>
      </c>
      <c r="L80" s="120">
        <v>420.75682505599588</v>
      </c>
    </row>
    <row r="81" spans="1:12" ht="15" customHeight="1" x14ac:dyDescent="0.2">
      <c r="A81" s="11">
        <v>45017</v>
      </c>
      <c r="B81" s="120">
        <v>349.71309531744549</v>
      </c>
      <c r="C81" s="120">
        <v>499.27425480107473</v>
      </c>
      <c r="D81" s="120">
        <v>326.27117002244341</v>
      </c>
      <c r="E81" s="120">
        <v>370.09873320610455</v>
      </c>
      <c r="F81" s="120">
        <v>221.27156568801902</v>
      </c>
      <c r="G81" s="120">
        <v>42.39780440956249</v>
      </c>
      <c r="H81" s="120">
        <v>523.37924006948458</v>
      </c>
      <c r="I81" s="120">
        <v>646.23332359941423</v>
      </c>
      <c r="J81" s="120">
        <v>272.37350975835915</v>
      </c>
      <c r="K81" s="120">
        <v>199.17606559234051</v>
      </c>
      <c r="L81" s="120">
        <v>335.76261805401379</v>
      </c>
    </row>
    <row r="82" spans="1:12" ht="15" customHeight="1" x14ac:dyDescent="0.2">
      <c r="A82" s="11">
        <v>45047</v>
      </c>
      <c r="B82" s="120">
        <v>406.22837087568729</v>
      </c>
      <c r="C82" s="120">
        <v>489.32321933667527</v>
      </c>
      <c r="D82" s="120">
        <v>439.88450713927591</v>
      </c>
      <c r="E82" s="120">
        <v>426.73114646648258</v>
      </c>
      <c r="F82" s="120">
        <v>265.96748232559577</v>
      </c>
      <c r="G82" s="120">
        <v>46.780505825552027</v>
      </c>
      <c r="H82" s="120">
        <v>624.04465460337394</v>
      </c>
      <c r="I82" s="120">
        <v>959.47360874285448</v>
      </c>
      <c r="J82" s="120">
        <v>322.2427371925815</v>
      </c>
      <c r="K82" s="120">
        <v>226.04014558911007</v>
      </c>
      <c r="L82" s="120">
        <v>389.24092190162418</v>
      </c>
    </row>
    <row r="83" spans="1:12" ht="15" customHeight="1" x14ac:dyDescent="0.2">
      <c r="A83" s="11">
        <v>45078</v>
      </c>
      <c r="B83" s="120">
        <v>409.91995097424524</v>
      </c>
      <c r="C83" s="120">
        <v>478.39723838159608</v>
      </c>
      <c r="D83" s="120">
        <v>414.34075964738702</v>
      </c>
      <c r="E83" s="120">
        <v>415.06932299026585</v>
      </c>
      <c r="F83" s="120">
        <v>247.66327736339124</v>
      </c>
      <c r="G83" s="120">
        <v>32.710437587554637</v>
      </c>
      <c r="H83" s="120">
        <v>549.45813083423468</v>
      </c>
      <c r="I83" s="120">
        <v>887.55232873881334</v>
      </c>
      <c r="J83" s="120">
        <v>293.13409585678227</v>
      </c>
      <c r="K83" s="120">
        <v>145.79719657146256</v>
      </c>
      <c r="L83" s="120">
        <v>372.82286106721182</v>
      </c>
    </row>
    <row r="84" spans="1:12" ht="15" customHeight="1" x14ac:dyDescent="0.2">
      <c r="A84" s="11">
        <v>45108</v>
      </c>
      <c r="B84" s="120">
        <v>433.38852470466708</v>
      </c>
      <c r="C84" s="120">
        <v>487.08575712787353</v>
      </c>
      <c r="D84" s="120">
        <v>470.65040661049665</v>
      </c>
      <c r="E84" s="120">
        <v>437.20125168473402</v>
      </c>
      <c r="F84" s="120">
        <v>271.13491055956291</v>
      </c>
      <c r="G84" s="120">
        <v>39.303146972760189</v>
      </c>
      <c r="H84" s="120">
        <v>637.49181583376458</v>
      </c>
      <c r="I84" s="120">
        <v>1080.03797154156</v>
      </c>
      <c r="J84" s="120">
        <v>339.24911872628189</v>
      </c>
      <c r="K84" s="120">
        <v>250.64604323617743</v>
      </c>
      <c r="L84" s="120">
        <v>401.06693729849638</v>
      </c>
    </row>
    <row r="85" spans="1:12" ht="15" customHeight="1" x14ac:dyDescent="0.2">
      <c r="A85" s="11">
        <v>45139</v>
      </c>
      <c r="B85" s="120">
        <v>443.95634331606055</v>
      </c>
      <c r="C85" s="120">
        <v>526.68931405545834</v>
      </c>
      <c r="D85" s="120">
        <v>479.19667540552922</v>
      </c>
      <c r="E85" s="120">
        <v>488.37500741124785</v>
      </c>
      <c r="F85" s="120">
        <v>283.58459109372262</v>
      </c>
      <c r="G85" s="120">
        <v>39.767861100287654</v>
      </c>
      <c r="H85" s="120">
        <v>655.53870751945249</v>
      </c>
      <c r="I85" s="120">
        <v>967.19703710413057</v>
      </c>
      <c r="J85" s="120">
        <v>359.61684776169511</v>
      </c>
      <c r="K85" s="120">
        <v>280.70002216448097</v>
      </c>
      <c r="L85" s="120">
        <v>442.81413918726224</v>
      </c>
    </row>
    <row r="86" spans="1:12" ht="15" customHeight="1" x14ac:dyDescent="0.2">
      <c r="A86" s="11">
        <v>45170</v>
      </c>
      <c r="B86" s="120">
        <v>370.74378826459269</v>
      </c>
      <c r="C86" s="120">
        <v>597.49944773631864</v>
      </c>
      <c r="D86" s="120">
        <v>495.82604881825813</v>
      </c>
      <c r="E86" s="120">
        <v>407.40442444150057</v>
      </c>
      <c r="F86" s="120">
        <v>285.40741131171035</v>
      </c>
      <c r="G86" s="120">
        <v>45.910545261791576</v>
      </c>
      <c r="H86" s="120">
        <v>670.22327124680635</v>
      </c>
      <c r="I86" s="120">
        <v>968.94643839528931</v>
      </c>
      <c r="J86" s="120">
        <v>360.39759763364702</v>
      </c>
      <c r="K86" s="120">
        <v>322.70093754605773</v>
      </c>
      <c r="L86" s="120">
        <v>386.08738408322012</v>
      </c>
    </row>
    <row r="87" spans="1:12" ht="15" customHeight="1" x14ac:dyDescent="0.2">
      <c r="A87" s="11">
        <v>45200</v>
      </c>
      <c r="B87" s="120">
        <v>363.97330755379551</v>
      </c>
      <c r="C87" s="120">
        <v>675.0286543483935</v>
      </c>
      <c r="D87" s="120">
        <v>484.14514432385874</v>
      </c>
      <c r="E87" s="120">
        <v>409.25028372378517</v>
      </c>
      <c r="F87" s="120">
        <v>228.91723272387293</v>
      </c>
      <c r="G87" s="120">
        <v>30.053837852363714</v>
      </c>
      <c r="H87" s="120">
        <v>592.83216657786659</v>
      </c>
      <c r="I87" s="120">
        <v>815.73096481011623</v>
      </c>
      <c r="J87" s="120">
        <v>298.6105117465641</v>
      </c>
      <c r="K87" s="120">
        <v>334.72043906745716</v>
      </c>
      <c r="L87" s="120">
        <v>370.93415364431917</v>
      </c>
    </row>
    <row r="88" spans="1:12" ht="15" customHeight="1" x14ac:dyDescent="0.2">
      <c r="A88" s="11">
        <v>45231</v>
      </c>
      <c r="B88" s="120">
        <v>411.56846185609453</v>
      </c>
      <c r="C88" s="120">
        <v>730.28168191614145</v>
      </c>
      <c r="D88" s="120">
        <v>483.3649790765275</v>
      </c>
      <c r="E88" s="120">
        <v>437.70714570836793</v>
      </c>
      <c r="F88" s="120">
        <v>272.99845715692578</v>
      </c>
      <c r="G88" s="120">
        <v>30.389900642458542</v>
      </c>
      <c r="H88" s="120">
        <v>603.70702599484969</v>
      </c>
      <c r="I88" s="120">
        <v>546.88118476165369</v>
      </c>
      <c r="J88" s="120">
        <v>324.62681932002573</v>
      </c>
      <c r="K88" s="120">
        <v>2328.1946870592442</v>
      </c>
      <c r="L88" s="120">
        <v>403.64849576418919</v>
      </c>
    </row>
    <row r="89" spans="1:12" ht="15" customHeight="1" x14ac:dyDescent="0.2">
      <c r="A89" s="11">
        <v>45261</v>
      </c>
      <c r="B89" s="120">
        <v>454.87648380050899</v>
      </c>
      <c r="C89" s="120">
        <v>804.73281994674687</v>
      </c>
      <c r="D89" s="120">
        <v>486.73966811161119</v>
      </c>
      <c r="E89" s="120">
        <v>450.24624059402424</v>
      </c>
      <c r="F89" s="120">
        <v>267.63519096678675</v>
      </c>
      <c r="G89" s="120">
        <v>29.783178742576894</v>
      </c>
      <c r="H89" s="120">
        <v>484.96457699000126</v>
      </c>
      <c r="I89" s="120">
        <v>454.02271029718077</v>
      </c>
      <c r="J89" s="120">
        <v>310.79510655540838</v>
      </c>
      <c r="K89" s="120">
        <v>280.54705927017756</v>
      </c>
      <c r="L89" s="120">
        <v>402.91571426717178</v>
      </c>
    </row>
    <row r="90" spans="1:12" ht="15" customHeight="1" x14ac:dyDescent="0.2">
      <c r="A90" s="10" t="s">
        <v>347</v>
      </c>
      <c r="B90" s="12">
        <v>387.40347172636666</v>
      </c>
      <c r="C90" s="12">
        <v>1112.0561701358799</v>
      </c>
      <c r="D90" s="12">
        <v>490.14460044378762</v>
      </c>
      <c r="E90" s="12">
        <v>431.69372970024102</v>
      </c>
      <c r="F90" s="12">
        <v>241.90305548844302</v>
      </c>
      <c r="G90" s="12">
        <v>33.101482216956143</v>
      </c>
      <c r="H90" s="12">
        <v>510.93491414243073</v>
      </c>
      <c r="I90" s="12">
        <v>585.25701883583213</v>
      </c>
      <c r="J90" s="12">
        <v>289.07763098178259</v>
      </c>
      <c r="K90" s="12">
        <v>203.36471412689207</v>
      </c>
      <c r="L90" s="12">
        <v>383.77487411916604</v>
      </c>
    </row>
    <row r="91" spans="1:12" ht="15" customHeight="1" x14ac:dyDescent="0.2">
      <c r="A91" s="10" t="s">
        <v>348</v>
      </c>
      <c r="B91" s="12">
        <v>417.72101825248814</v>
      </c>
      <c r="C91" s="12">
        <v>1152.3951710188717</v>
      </c>
      <c r="D91" s="12">
        <v>514.94584384398729</v>
      </c>
      <c r="E91" s="12">
        <v>454.00328135956858</v>
      </c>
      <c r="F91" s="12">
        <v>294.31014833579638</v>
      </c>
      <c r="G91" s="12">
        <v>44.753905257367329</v>
      </c>
      <c r="H91" s="12">
        <v>654.44242472491351</v>
      </c>
      <c r="I91" s="12">
        <v>606.67508257369866</v>
      </c>
      <c r="J91" s="12">
        <v>319.36446935186649</v>
      </c>
      <c r="K91" s="12">
        <v>256.49972135260077</v>
      </c>
      <c r="L91" s="12">
        <v>407.5988160889641</v>
      </c>
    </row>
    <row r="92" spans="1:12" ht="15" customHeight="1" x14ac:dyDescent="0.2">
      <c r="A92" s="10" t="s">
        <v>349</v>
      </c>
      <c r="B92" s="12">
        <v>430.38140165720944</v>
      </c>
      <c r="C92" s="12">
        <v>1255.5033545413298</v>
      </c>
      <c r="D92" s="12">
        <v>555.44281164494282</v>
      </c>
      <c r="E92" s="12">
        <v>490.87859306799066</v>
      </c>
      <c r="F92" s="12">
        <v>281.32828820536565</v>
      </c>
      <c r="G92" s="12">
        <v>49.985126082970972</v>
      </c>
      <c r="H92" s="12">
        <v>745.37548560620837</v>
      </c>
      <c r="I92" s="12">
        <v>672.7884717484277</v>
      </c>
      <c r="J92" s="12">
        <v>312.27731349146256</v>
      </c>
      <c r="K92" s="12">
        <v>376.98305540871883</v>
      </c>
      <c r="L92" s="12">
        <v>432.1301934090518</v>
      </c>
    </row>
    <row r="93" spans="1:12" ht="15" customHeight="1" x14ac:dyDescent="0.2">
      <c r="A93" s="10" t="s">
        <v>350</v>
      </c>
      <c r="B93" s="12">
        <v>304.812306749561</v>
      </c>
      <c r="C93" s="12">
        <v>1093.6345081012419</v>
      </c>
      <c r="D93" s="12">
        <v>371.89760295936702</v>
      </c>
      <c r="E93" s="12">
        <v>356.41820428284177</v>
      </c>
      <c r="F93" s="12">
        <v>210.70328783440357</v>
      </c>
      <c r="G93" s="12">
        <v>26.561230751137966</v>
      </c>
      <c r="H93" s="12">
        <v>576.28824725039954</v>
      </c>
      <c r="I93" s="12">
        <v>568.26116185823196</v>
      </c>
      <c r="J93" s="12">
        <v>260.75755441825555</v>
      </c>
      <c r="K93" s="12">
        <v>296.95637542621256</v>
      </c>
      <c r="L93" s="12">
        <v>323.45699412074072</v>
      </c>
    </row>
    <row r="94" spans="1:12" ht="15" customHeight="1" x14ac:dyDescent="0.2">
      <c r="A94" s="10" t="s">
        <v>351</v>
      </c>
      <c r="B94" s="12">
        <v>370.77918986282742</v>
      </c>
      <c r="C94" s="12">
        <v>1094.965175372952</v>
      </c>
      <c r="D94" s="12">
        <v>452.90887651459332</v>
      </c>
      <c r="E94" s="12">
        <v>416.01084731911288</v>
      </c>
      <c r="F94" s="12">
        <v>254.11673150254109</v>
      </c>
      <c r="G94" s="12">
        <v>35.210931193449994</v>
      </c>
      <c r="H94" s="12">
        <v>625.48118618396302</v>
      </c>
      <c r="I94" s="12">
        <v>607.35967197999139</v>
      </c>
      <c r="J94" s="12">
        <v>290.57025788161849</v>
      </c>
      <c r="K94" s="12">
        <v>233.79247733437171</v>
      </c>
      <c r="L94" s="12">
        <v>373.06210880572144</v>
      </c>
    </row>
    <row r="95" spans="1:12" ht="15" customHeight="1" x14ac:dyDescent="0.2">
      <c r="A95" s="10" t="s">
        <v>352</v>
      </c>
      <c r="B95" s="12">
        <v>429.95068187392667</v>
      </c>
      <c r="C95" s="12">
        <v>890.91469533438453</v>
      </c>
      <c r="D95" s="12">
        <v>468.73303945703395</v>
      </c>
      <c r="E95" s="12">
        <v>439.51316525734899</v>
      </c>
      <c r="F95" s="12">
        <v>272.65077102131829</v>
      </c>
      <c r="G95" s="12">
        <v>32.024256059975698</v>
      </c>
      <c r="H95" s="12">
        <v>642.36147950866109</v>
      </c>
      <c r="I95" s="12">
        <v>605.52703211085941</v>
      </c>
      <c r="J95" s="12">
        <v>338.52580302115706</v>
      </c>
      <c r="K95" s="12">
        <v>291.44982339698134</v>
      </c>
      <c r="L95" s="12">
        <v>402.7871224619833</v>
      </c>
    </row>
    <row r="96" spans="1:12" ht="15" customHeight="1" x14ac:dyDescent="0.2">
      <c r="A96" s="10" t="s">
        <v>353</v>
      </c>
      <c r="B96" s="12">
        <v>427.38496669479008</v>
      </c>
      <c r="C96" s="12">
        <v>1143.8576922451884</v>
      </c>
      <c r="D96" s="12">
        <v>433.92867136655002</v>
      </c>
      <c r="E96" s="12">
        <v>455.59628641216165</v>
      </c>
      <c r="F96" s="12">
        <v>279.21724991301312</v>
      </c>
      <c r="G96" s="12">
        <v>34.822111472111295</v>
      </c>
      <c r="H96" s="12">
        <v>748.04057852967833</v>
      </c>
      <c r="I96" s="12">
        <v>573.18076053995708</v>
      </c>
      <c r="J96" s="12">
        <v>370.4563015418675</v>
      </c>
      <c r="K96" s="12">
        <v>324.36862931050587</v>
      </c>
      <c r="L96" s="12">
        <v>422.62540617142702</v>
      </c>
    </row>
    <row r="97" spans="1:12" ht="15" customHeight="1" x14ac:dyDescent="0.2">
      <c r="A97" s="10" t="s">
        <v>354</v>
      </c>
      <c r="B97" s="12">
        <v>487.26267897744708</v>
      </c>
      <c r="C97" s="12">
        <v>1008.9376551760005</v>
      </c>
      <c r="D97" s="12">
        <v>579.33043397097401</v>
      </c>
      <c r="E97" s="12">
        <v>506.96909876387082</v>
      </c>
      <c r="F97" s="12">
        <v>289.32976575203935</v>
      </c>
      <c r="G97" s="12">
        <v>50.379087043219677</v>
      </c>
      <c r="H97" s="12">
        <v>820.15313117292624</v>
      </c>
      <c r="I97" s="12">
        <v>550.83983401640808</v>
      </c>
      <c r="J97" s="12">
        <v>357.3171075237305</v>
      </c>
      <c r="K97" s="12">
        <v>521.65978069488199</v>
      </c>
      <c r="L97" s="12">
        <v>455.85978222725691</v>
      </c>
    </row>
    <row r="98" spans="1:12" ht="15" customHeight="1" x14ac:dyDescent="0.2">
      <c r="A98" s="10" t="s">
        <v>355</v>
      </c>
      <c r="B98" s="12">
        <v>399.60820805069187</v>
      </c>
      <c r="C98" s="12">
        <v>902.91385217129903</v>
      </c>
      <c r="D98" s="12">
        <v>443.08067065687186</v>
      </c>
      <c r="E98" s="12">
        <v>407.33445223763226</v>
      </c>
      <c r="F98" s="12">
        <v>259.80925228766336</v>
      </c>
      <c r="G98" s="12">
        <v>42.651884571322917</v>
      </c>
      <c r="H98" s="12">
        <v>686.62854626940577</v>
      </c>
      <c r="I98" s="12">
        <v>506.38928713699681</v>
      </c>
      <c r="J98" s="12">
        <v>322.04013195161485</v>
      </c>
      <c r="K98" s="12">
        <v>115.45428714750076</v>
      </c>
      <c r="L98" s="12">
        <v>375.05620436825836</v>
      </c>
    </row>
    <row r="99" spans="1:12" ht="15" customHeight="1" x14ac:dyDescent="0.2">
      <c r="A99" s="10" t="s">
        <v>356</v>
      </c>
      <c r="B99" s="12">
        <v>401.01864309857064</v>
      </c>
      <c r="C99" s="12">
        <v>1438.6043626342039</v>
      </c>
      <c r="D99" s="12">
        <v>458.92970146526437</v>
      </c>
      <c r="E99" s="12">
        <v>460.78833560622178</v>
      </c>
      <c r="F99" s="12">
        <v>274.62737794525378</v>
      </c>
      <c r="G99" s="12">
        <v>49.715165505084215</v>
      </c>
      <c r="H99" s="12">
        <v>754.19813735253058</v>
      </c>
      <c r="I99" s="12">
        <v>501.70805040720893</v>
      </c>
      <c r="J99" s="12">
        <v>343.17298849410327</v>
      </c>
      <c r="K99" s="12">
        <v>240.44530138675489</v>
      </c>
      <c r="L99" s="12">
        <v>418.77689103184468</v>
      </c>
    </row>
    <row r="100" spans="1:12" ht="15" customHeight="1" x14ac:dyDescent="0.2">
      <c r="A100" s="10" t="s">
        <v>357</v>
      </c>
      <c r="B100" s="12">
        <v>367.80315175893554</v>
      </c>
      <c r="C100" s="12">
        <v>824.72412064462981</v>
      </c>
      <c r="D100" s="12">
        <v>417.97140599569093</v>
      </c>
      <c r="E100" s="12">
        <v>388.13866743171201</v>
      </c>
      <c r="F100" s="12">
        <v>254.31913546889876</v>
      </c>
      <c r="G100" s="12">
        <v>38.089508285170766</v>
      </c>
      <c r="H100" s="12">
        <v>612.11041505707601</v>
      </c>
      <c r="I100" s="12">
        <v>565.17262077732676</v>
      </c>
      <c r="J100" s="12">
        <v>306.47200711842061</v>
      </c>
      <c r="K100" s="12">
        <v>187.1602488891549</v>
      </c>
      <c r="L100" s="12">
        <v>357.34881317164729</v>
      </c>
    </row>
    <row r="101" spans="1:12" ht="15" customHeight="1" x14ac:dyDescent="0.2">
      <c r="A101" s="10" t="s">
        <v>358</v>
      </c>
      <c r="B101" s="12">
        <v>413.14920498320851</v>
      </c>
      <c r="C101" s="12">
        <v>1033.819746179814</v>
      </c>
      <c r="D101" s="12">
        <v>435.72412123258033</v>
      </c>
      <c r="E101" s="12">
        <v>427.65909210021584</v>
      </c>
      <c r="F101" s="12">
        <v>282.95905215733882</v>
      </c>
      <c r="G101" s="12">
        <v>42.711816500127746</v>
      </c>
      <c r="H101" s="12">
        <v>671.91486206848367</v>
      </c>
      <c r="I101" s="12">
        <v>580.97523998582835</v>
      </c>
      <c r="J101" s="12">
        <v>344.48234950655859</v>
      </c>
      <c r="K101" s="12">
        <v>199.21699380149533</v>
      </c>
      <c r="L101" s="12">
        <v>395.58713152011035</v>
      </c>
    </row>
    <row r="102" spans="1:12" ht="15" customHeight="1" x14ac:dyDescent="0.2">
      <c r="A102" s="11" t="s">
        <v>287</v>
      </c>
      <c r="B102" s="122">
        <v>432.42362207711341</v>
      </c>
      <c r="C102" s="120">
        <v>877.87550103907665</v>
      </c>
      <c r="D102" s="123">
        <v>404.98368494205806</v>
      </c>
      <c r="E102" s="120">
        <v>427.43178582332183</v>
      </c>
      <c r="F102" s="120">
        <v>246.04018414774984</v>
      </c>
      <c r="G102" s="120">
        <v>60.682614770869122</v>
      </c>
      <c r="H102" s="120">
        <v>665.30696914176042</v>
      </c>
      <c r="I102" s="120">
        <v>518.37192439870637</v>
      </c>
      <c r="J102" s="120">
        <v>302.34455999516155</v>
      </c>
      <c r="K102" s="120">
        <v>138.94130442186503</v>
      </c>
      <c r="L102" s="120">
        <v>383.83277688389245</v>
      </c>
    </row>
    <row r="103" spans="1:12" ht="15" customHeight="1" x14ac:dyDescent="0.2">
      <c r="A103" s="11" t="s">
        <v>288</v>
      </c>
      <c r="B103" s="122">
        <v>402.31154727585118</v>
      </c>
      <c r="C103" s="120">
        <v>970.71386979160877</v>
      </c>
      <c r="D103" s="123">
        <v>453.50463638877119</v>
      </c>
      <c r="E103" s="120">
        <v>424.76477816330919</v>
      </c>
      <c r="F103" s="120">
        <v>261.25738733421127</v>
      </c>
      <c r="G103" s="120">
        <v>54.313211840396313</v>
      </c>
      <c r="H103" s="120">
        <v>790.55870646650988</v>
      </c>
      <c r="I103" s="120">
        <v>442.08612853103068</v>
      </c>
      <c r="J103" s="120">
        <v>313.27583737845498</v>
      </c>
      <c r="K103" s="120">
        <v>184.04994509807074</v>
      </c>
      <c r="L103" s="120">
        <v>384.69274041290873</v>
      </c>
    </row>
    <row r="104" spans="1:12" ht="15" customHeight="1" x14ac:dyDescent="0.2">
      <c r="A104" s="11" t="s">
        <v>289</v>
      </c>
      <c r="B104" s="122">
        <v>465.3360949670128</v>
      </c>
      <c r="C104" s="120">
        <v>1245.4781013186666</v>
      </c>
      <c r="D104" s="123">
        <v>509.26774403155036</v>
      </c>
      <c r="E104" s="120">
        <v>503.75481238307481</v>
      </c>
      <c r="F104" s="120">
        <v>302.82807053934533</v>
      </c>
      <c r="G104" s="120">
        <v>51.335614389212111</v>
      </c>
      <c r="H104" s="120">
        <v>840.9183363489924</v>
      </c>
      <c r="I104" s="120">
        <v>567.81720845945176</v>
      </c>
      <c r="J104" s="120">
        <v>354.66669213697412</v>
      </c>
      <c r="K104" s="120">
        <v>307.26864809146787</v>
      </c>
      <c r="L104" s="120">
        <v>452.2896648968362</v>
      </c>
    </row>
    <row r="105" spans="1:12" ht="15" customHeight="1" x14ac:dyDescent="0.2">
      <c r="A105" s="11" t="s">
        <v>290</v>
      </c>
      <c r="B105" s="122">
        <v>345.09347172921707</v>
      </c>
      <c r="C105" s="120">
        <v>784.15269985973441</v>
      </c>
      <c r="D105" s="123">
        <v>336.45938009422224</v>
      </c>
      <c r="E105" s="120">
        <v>388.03361820233437</v>
      </c>
      <c r="F105" s="120">
        <v>236.22223204954537</v>
      </c>
      <c r="G105" s="120">
        <v>37.492947395287935</v>
      </c>
      <c r="H105" s="120">
        <v>651.62290359337089</v>
      </c>
      <c r="I105" s="120">
        <v>763.91753705351005</v>
      </c>
      <c r="J105" s="120">
        <v>298.69794578117245</v>
      </c>
      <c r="K105" s="120">
        <v>196.64403421282293</v>
      </c>
      <c r="L105" s="120">
        <v>355.80573768128932</v>
      </c>
    </row>
    <row r="106" spans="1:12" ht="15" customHeight="1" x14ac:dyDescent="0.2">
      <c r="A106" s="11" t="s">
        <v>291</v>
      </c>
      <c r="B106" s="122">
        <v>369.42510995549833</v>
      </c>
      <c r="C106" s="120">
        <v>841.46667725237728</v>
      </c>
      <c r="D106" s="123">
        <v>407.67330058907623</v>
      </c>
      <c r="E106" s="120">
        <v>410.98787856856774</v>
      </c>
      <c r="F106" s="120">
        <v>290.90826522857736</v>
      </c>
      <c r="G106" s="120">
        <v>39.900906974343023</v>
      </c>
      <c r="H106" s="120">
        <v>826.60961791032662</v>
      </c>
      <c r="I106" s="120">
        <v>835.17720553982713</v>
      </c>
      <c r="J106" s="120">
        <v>335.88537336338641</v>
      </c>
      <c r="K106" s="120">
        <v>289.13130203949055</v>
      </c>
      <c r="L106" s="120">
        <v>381.33904991001708</v>
      </c>
    </row>
    <row r="107" spans="1:12" ht="15" customHeight="1" x14ac:dyDescent="0.2">
      <c r="A107" s="11" t="s">
        <v>292</v>
      </c>
      <c r="B107" s="122">
        <v>440.48919179675642</v>
      </c>
      <c r="C107" s="120">
        <v>864.05620026618851</v>
      </c>
      <c r="D107" s="123">
        <v>459.91847086849015</v>
      </c>
      <c r="E107" s="120">
        <v>461.78292119274982</v>
      </c>
      <c r="F107" s="120">
        <v>293.9692260862966</v>
      </c>
      <c r="G107" s="120">
        <v>24.701265709267414</v>
      </c>
      <c r="H107" s="120">
        <v>971.46288238236696</v>
      </c>
      <c r="I107" s="120">
        <v>706.43947133684208</v>
      </c>
      <c r="J107" s="120">
        <v>352.49796924760062</v>
      </c>
      <c r="K107" s="120">
        <v>204.28618857904877</v>
      </c>
      <c r="L107" s="120">
        <v>421.52701847754923</v>
      </c>
    </row>
    <row r="108" spans="1:12" ht="15" customHeight="1" x14ac:dyDescent="0.2">
      <c r="A108" s="11" t="s">
        <v>341</v>
      </c>
      <c r="B108" s="122">
        <v>458.77368642113203</v>
      </c>
      <c r="C108" s="120">
        <v>1397.9700758442084</v>
      </c>
      <c r="D108" s="123">
        <v>469.02781925010919</v>
      </c>
      <c r="E108" s="120">
        <v>516.53501831333563</v>
      </c>
      <c r="F108" s="120">
        <v>313.01676078732248</v>
      </c>
      <c r="G108" s="120">
        <v>52.990132484479126</v>
      </c>
      <c r="H108" s="120">
        <v>1141.6639109810465</v>
      </c>
      <c r="I108" s="120">
        <v>1092.7227985853228</v>
      </c>
      <c r="J108" s="120">
        <v>429.99546460741044</v>
      </c>
      <c r="K108" s="120">
        <v>328.18403292512284</v>
      </c>
      <c r="L108" s="120">
        <v>482.68398065220418</v>
      </c>
    </row>
    <row r="109" spans="1:12" ht="15" customHeight="1" x14ac:dyDescent="0.2">
      <c r="A109" s="11" t="s">
        <v>342</v>
      </c>
      <c r="B109" s="122">
        <v>484.77142758191644</v>
      </c>
      <c r="C109" s="120">
        <v>902.28058988636246</v>
      </c>
      <c r="D109" s="123">
        <v>481.71000722693378</v>
      </c>
      <c r="E109" s="120">
        <v>518.06165858314228</v>
      </c>
      <c r="F109" s="120">
        <v>315.44491604639893</v>
      </c>
      <c r="G109" s="120">
        <v>58.276903510930168</v>
      </c>
      <c r="H109" s="120">
        <v>1153.1076799085693</v>
      </c>
      <c r="I109" s="120">
        <v>976.89534407784174</v>
      </c>
      <c r="J109" s="120">
        <v>406.09724867467941</v>
      </c>
      <c r="K109" s="120">
        <v>223.19578489920266</v>
      </c>
      <c r="L109" s="120">
        <v>475.90065291649381</v>
      </c>
    </row>
    <row r="110" spans="1:12" ht="15" customHeight="1" x14ac:dyDescent="0.2">
      <c r="A110" s="11" t="s">
        <v>343</v>
      </c>
      <c r="B110" s="122">
        <v>407.42592097009748</v>
      </c>
      <c r="C110" s="120">
        <v>794.67246720664639</v>
      </c>
      <c r="D110" s="123">
        <v>410.19967960935583</v>
      </c>
      <c r="E110" s="120">
        <v>441.63649002371488</v>
      </c>
      <c r="F110" s="120">
        <v>305.20794522340651</v>
      </c>
      <c r="G110" s="120">
        <v>57.499712923107658</v>
      </c>
      <c r="H110" s="120">
        <v>1127.4401885817742</v>
      </c>
      <c r="I110" s="120">
        <v>1075.0495973169313</v>
      </c>
      <c r="J110" s="120">
        <v>408.19366232891753</v>
      </c>
      <c r="K110" s="120">
        <v>506.69406809266712</v>
      </c>
      <c r="L110" s="120">
        <v>423.49952118392417</v>
      </c>
    </row>
    <row r="111" spans="1:12" ht="15" customHeight="1" x14ac:dyDescent="0.2">
      <c r="A111" s="11" t="s">
        <v>344</v>
      </c>
      <c r="B111" s="122">
        <v>413.25910863874083</v>
      </c>
      <c r="C111" s="120">
        <v>891.63496632448346</v>
      </c>
      <c r="D111" s="123">
        <v>445.89678890482247</v>
      </c>
      <c r="E111" s="120">
        <v>465.58268333903845</v>
      </c>
      <c r="F111" s="120">
        <v>282.75046854156761</v>
      </c>
      <c r="G111" s="120">
        <v>54.93764818567621</v>
      </c>
      <c r="H111" s="120">
        <v>1092.8366569482655</v>
      </c>
      <c r="I111" s="120">
        <v>895.70363755371955</v>
      </c>
      <c r="J111" s="120">
        <v>369.11245154596639</v>
      </c>
      <c r="K111" s="120">
        <v>275.55505770995279</v>
      </c>
      <c r="L111" s="120">
        <v>429.05278822202382</v>
      </c>
    </row>
    <row r="112" spans="1:12" ht="15" customHeight="1" x14ac:dyDescent="0.2">
      <c r="A112" s="11" t="s">
        <v>345</v>
      </c>
      <c r="B112" s="122">
        <v>377.9993267674414</v>
      </c>
      <c r="C112" s="120">
        <v>1088.5457162551013</v>
      </c>
      <c r="D112" s="123">
        <v>429.39006382900914</v>
      </c>
      <c r="E112" s="120">
        <v>436.12024430074979</v>
      </c>
      <c r="F112" s="120">
        <v>252.41710660443582</v>
      </c>
      <c r="G112" s="120">
        <v>38.24821414452429</v>
      </c>
      <c r="H112" s="120">
        <v>925.280757008828</v>
      </c>
      <c r="I112" s="120">
        <v>907.33344755831695</v>
      </c>
      <c r="J112" s="120">
        <v>336.35048704486962</v>
      </c>
      <c r="K112" s="120">
        <v>208.3800557901194</v>
      </c>
      <c r="L112" s="120">
        <v>399.14599323069785</v>
      </c>
    </row>
    <row r="113" spans="1:12" ht="15" customHeight="1" x14ac:dyDescent="0.2">
      <c r="A113" s="11" t="s">
        <v>346</v>
      </c>
      <c r="B113" s="122">
        <v>461.4950096577515</v>
      </c>
      <c r="C113" s="120">
        <v>1122.786893861422</v>
      </c>
      <c r="D113" s="123">
        <v>437.42167512251496</v>
      </c>
      <c r="E113" s="120">
        <v>489.13928518566308</v>
      </c>
      <c r="F113" s="120">
        <v>241.18835388574161</v>
      </c>
      <c r="G113" s="120">
        <v>44.513892074382575</v>
      </c>
      <c r="H113" s="120">
        <v>878.92612898193977</v>
      </c>
      <c r="I113" s="120">
        <v>877.89893696341755</v>
      </c>
      <c r="J113" s="120">
        <v>349.42565935270807</v>
      </c>
      <c r="K113" s="120">
        <v>328.94927415204296</v>
      </c>
      <c r="L113" s="120">
        <v>440.73958105156663</v>
      </c>
    </row>
    <row r="114" spans="1:12" ht="15" customHeight="1" x14ac:dyDescent="0.2">
      <c r="A114" s="10" t="s">
        <v>373</v>
      </c>
      <c r="B114" s="12">
        <v>439.60724050628295</v>
      </c>
      <c r="C114" s="12">
        <v>987.65197965236075</v>
      </c>
      <c r="D114" s="12">
        <v>446.22314775902714</v>
      </c>
      <c r="E114" s="12">
        <v>473.25435270343047</v>
      </c>
      <c r="F114" s="12">
        <v>278.10411183632914</v>
      </c>
      <c r="G114" s="12">
        <v>45.272061181376706</v>
      </c>
      <c r="H114" s="12">
        <v>877.20140532951257</v>
      </c>
      <c r="I114" s="12">
        <v>989.81597190024524</v>
      </c>
      <c r="J114" s="12">
        <v>375.66895539961996</v>
      </c>
      <c r="K114" s="12">
        <v>717.52872106399832</v>
      </c>
      <c r="L114" s="12">
        <v>437.87088396683583</v>
      </c>
    </row>
    <row r="115" spans="1:12" ht="15" customHeight="1" x14ac:dyDescent="0.2">
      <c r="A115" s="10" t="s">
        <v>374</v>
      </c>
      <c r="B115" s="12">
        <v>377.84707418988415</v>
      </c>
      <c r="C115" s="12">
        <v>905.66471695453845</v>
      </c>
      <c r="D115" s="12">
        <v>445.09695201622014</v>
      </c>
      <c r="E115" s="12">
        <v>442.59816780783177</v>
      </c>
      <c r="F115" s="12">
        <v>262.22446976085422</v>
      </c>
      <c r="G115" s="12">
        <v>55.761956214880882</v>
      </c>
      <c r="H115" s="12">
        <v>942.64885781589862</v>
      </c>
      <c r="I115" s="12">
        <v>665.34383647787786</v>
      </c>
      <c r="J115" s="12">
        <v>331.42193687226114</v>
      </c>
      <c r="K115" s="12">
        <v>465.66079210810841</v>
      </c>
      <c r="L115" s="12">
        <v>402.89183046110332</v>
      </c>
    </row>
    <row r="116" spans="1:12" ht="15" customHeight="1" x14ac:dyDescent="0.2">
      <c r="A116" s="10" t="s">
        <v>375</v>
      </c>
      <c r="B116" s="12">
        <v>436.45667875799666</v>
      </c>
      <c r="C116" s="12">
        <v>1977.1959944299135</v>
      </c>
      <c r="D116" s="12">
        <v>530.62012404394704</v>
      </c>
      <c r="E116" s="12">
        <v>547.04367668958844</v>
      </c>
      <c r="F116" s="12">
        <v>263.80488514867079</v>
      </c>
      <c r="G116" s="12">
        <v>62.391681355814342</v>
      </c>
      <c r="H116" s="12">
        <v>1007.8398781968564</v>
      </c>
      <c r="I116" s="12">
        <v>641.8408822679263</v>
      </c>
      <c r="J116" s="12">
        <v>350.34337724239822</v>
      </c>
      <c r="K116" s="12">
        <v>301.32060576772761</v>
      </c>
      <c r="L116" s="12">
        <v>481.60234644914988</v>
      </c>
    </row>
    <row r="117" spans="1:12" ht="15" customHeight="1" x14ac:dyDescent="0.2">
      <c r="A117" s="166" t="s">
        <v>397</v>
      </c>
      <c r="B117" s="191">
        <v>348.51363130743204</v>
      </c>
      <c r="C117" s="191">
        <v>1790.8578537271865</v>
      </c>
      <c r="D117" s="191">
        <v>373.52436139348947</v>
      </c>
      <c r="E117" s="191">
        <v>466.98512558803776</v>
      </c>
      <c r="F117" s="191">
        <v>233.32891690060137</v>
      </c>
      <c r="G117" s="191">
        <v>47.355445259406608</v>
      </c>
      <c r="H117" s="191">
        <v>883.07114313706506</v>
      </c>
      <c r="I117" s="191">
        <v>787.60096763749641</v>
      </c>
      <c r="J117" s="191">
        <v>323.39670583322959</v>
      </c>
      <c r="K117" s="191">
        <v>365.29677624842589</v>
      </c>
      <c r="L117" s="191">
        <v>418.40375482882234</v>
      </c>
    </row>
    <row r="118" spans="1:12" ht="15" customHeight="1" x14ac:dyDescent="0.2">
      <c r="A118" s="76" t="s">
        <v>244</v>
      </c>
      <c r="K118" s="19" t="s">
        <v>336</v>
      </c>
    </row>
    <row r="119" spans="1:12" ht="15" customHeight="1" x14ac:dyDescent="0.2">
      <c r="A119" s="76" t="s">
        <v>1</v>
      </c>
    </row>
  </sheetData>
  <mergeCells count="6">
    <mergeCell ref="A4:L4"/>
    <mergeCell ref="A6:A8"/>
    <mergeCell ref="L6:L8"/>
    <mergeCell ref="B7:E7"/>
    <mergeCell ref="F7:J7"/>
    <mergeCell ref="K7:K8"/>
  </mergeCells>
  <phoneticPr fontId="19" type="noConversion"/>
  <hyperlinks>
    <hyperlink ref="L2" location="Contents!A1" display="Back to Contents" xr:uid="{64CBCC68-B046-46EC-9D50-03A206D862E5}"/>
  </hyperlinks>
  <printOptions horizontalCentered="1"/>
  <pageMargins left="0.74803149606299202" right="0.74803149606299202" top="0.39370078740157499" bottom="0.39370078740157499" header="0.41" footer="0.37"/>
  <pageSetup scale="17" orientation="landscape" r:id="rId1"/>
  <headerFooter alignWithMargins="0">
    <oddHeader>&amp;L&amp;"Calibri"&amp;10&amp;K000000 [Limited Sharing]&amp;1#_x000D_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153EE-2F7B-499D-BD51-2D2C3199FC7C}">
  <dimension ref="A1:O126"/>
  <sheetViews>
    <sheetView zoomScaleNormal="100" workbookViewId="0">
      <selection activeCell="O2" sqref="O2"/>
    </sheetView>
  </sheetViews>
  <sheetFormatPr defaultRowHeight="12.75" x14ac:dyDescent="0.2"/>
  <cols>
    <col min="1" max="1" width="17" style="76" customWidth="1"/>
    <col min="2" max="2" width="15.5703125" style="19" customWidth="1"/>
    <col min="3" max="15" width="16.28515625" style="19" customWidth="1"/>
    <col min="16" max="16" width="5.5703125" style="19" customWidth="1"/>
    <col min="17" max="16384" width="9.140625" style="19"/>
  </cols>
  <sheetData>
    <row r="1" spans="1:15" s="16" customFormat="1" ht="15" customHeight="1" x14ac:dyDescent="0.25">
      <c r="A1" s="13" t="s">
        <v>29</v>
      </c>
      <c r="O1" s="15" t="s">
        <v>250</v>
      </c>
    </row>
    <row r="2" spans="1:15" s="16" customFormat="1" ht="15" customHeight="1" x14ac:dyDescent="0.25">
      <c r="A2" s="54" t="s">
        <v>286</v>
      </c>
      <c r="O2" s="17" t="s">
        <v>10</v>
      </c>
    </row>
    <row r="3" spans="1:15" s="16" customFormat="1" ht="15" customHeight="1" x14ac:dyDescent="0.25">
      <c r="A3" s="54"/>
      <c r="O3" s="17"/>
    </row>
    <row r="4" spans="1:15" s="16" customFormat="1" ht="15" customHeight="1" x14ac:dyDescent="0.25">
      <c r="A4" s="267" t="s">
        <v>387</v>
      </c>
      <c r="B4" s="267"/>
      <c r="C4" s="267"/>
      <c r="D4" s="267"/>
      <c r="E4" s="267"/>
      <c r="F4" s="267"/>
      <c r="G4" s="267"/>
      <c r="H4" s="267"/>
      <c r="I4" s="267"/>
      <c r="J4" s="267"/>
      <c r="K4" s="267"/>
      <c r="L4" s="267"/>
      <c r="M4" s="267"/>
      <c r="N4" s="267"/>
      <c r="O4" s="267"/>
    </row>
    <row r="5" spans="1:15" s="16" customFormat="1" ht="15" customHeight="1" x14ac:dyDescent="0.25">
      <c r="A5" s="119" t="s">
        <v>117</v>
      </c>
      <c r="O5" s="116" t="s">
        <v>236</v>
      </c>
    </row>
    <row r="6" spans="1:15" ht="15" customHeight="1" x14ac:dyDescent="0.2">
      <c r="A6" s="268" t="s">
        <v>3</v>
      </c>
      <c r="B6" s="117" t="s">
        <v>251</v>
      </c>
      <c r="C6" s="117"/>
      <c r="D6" s="117"/>
      <c r="E6" s="117"/>
      <c r="F6" s="117"/>
      <c r="G6" s="117"/>
      <c r="H6" s="117"/>
      <c r="I6" s="117"/>
      <c r="J6" s="117"/>
      <c r="K6" s="117"/>
      <c r="L6" s="117"/>
      <c r="M6" s="117"/>
      <c r="N6" s="117"/>
      <c r="O6" s="227" t="s">
        <v>265</v>
      </c>
    </row>
    <row r="7" spans="1:15" ht="15" customHeight="1" x14ac:dyDescent="0.2">
      <c r="A7" s="268"/>
      <c r="B7" s="269" t="s">
        <v>252</v>
      </c>
      <c r="C7" s="270"/>
      <c r="D7" s="271"/>
      <c r="E7" s="269" t="s">
        <v>255</v>
      </c>
      <c r="F7" s="270"/>
      <c r="G7" s="270"/>
      <c r="H7" s="270"/>
      <c r="I7" s="270"/>
      <c r="J7" s="271"/>
      <c r="K7" s="269" t="s">
        <v>261</v>
      </c>
      <c r="L7" s="270"/>
      <c r="M7" s="270"/>
      <c r="N7" s="271"/>
      <c r="O7" s="228"/>
    </row>
    <row r="8" spans="1:15" ht="30" customHeight="1" x14ac:dyDescent="0.2">
      <c r="A8" s="268"/>
      <c r="B8" s="118" t="s">
        <v>253</v>
      </c>
      <c r="C8" s="118" t="s">
        <v>254</v>
      </c>
      <c r="D8" s="118" t="s">
        <v>2</v>
      </c>
      <c r="E8" s="118" t="s">
        <v>256</v>
      </c>
      <c r="F8" s="118" t="s">
        <v>257</v>
      </c>
      <c r="G8" s="118" t="s">
        <v>258</v>
      </c>
      <c r="H8" s="118" t="s">
        <v>259</v>
      </c>
      <c r="I8" s="118" t="s">
        <v>260</v>
      </c>
      <c r="J8" s="118" t="s">
        <v>2</v>
      </c>
      <c r="K8" s="118" t="s">
        <v>262</v>
      </c>
      <c r="L8" s="118" t="s">
        <v>263</v>
      </c>
      <c r="M8" s="118" t="s">
        <v>264</v>
      </c>
      <c r="N8" s="118" t="s">
        <v>2</v>
      </c>
      <c r="O8" s="229"/>
    </row>
    <row r="9" spans="1:15" ht="15" customHeight="1" x14ac:dyDescent="0.2">
      <c r="A9" s="35" t="s">
        <v>48</v>
      </c>
      <c r="B9" s="12">
        <v>192.87369691991069</v>
      </c>
      <c r="C9" s="12">
        <v>263.12630267170351</v>
      </c>
      <c r="D9" s="12">
        <v>225.56749385827547</v>
      </c>
      <c r="E9" s="12">
        <v>136.60976038399329</v>
      </c>
      <c r="F9" s="12">
        <v>211.44050663841463</v>
      </c>
      <c r="G9" s="12">
        <v>177.58795005028534</v>
      </c>
      <c r="H9" s="12">
        <v>262.43031206849395</v>
      </c>
      <c r="I9" s="12">
        <v>237.81583606087486</v>
      </c>
      <c r="J9" s="12">
        <v>184.730937357317</v>
      </c>
      <c r="K9" s="12">
        <v>266.47289672405213</v>
      </c>
      <c r="L9" s="12">
        <v>96.781061307175676</v>
      </c>
      <c r="M9" s="12">
        <v>206.46446373001569</v>
      </c>
      <c r="N9" s="12">
        <v>211.94872961963935</v>
      </c>
      <c r="O9" s="12">
        <v>196.23513960678244</v>
      </c>
    </row>
    <row r="10" spans="1:15" ht="15" customHeight="1" x14ac:dyDescent="0.2">
      <c r="A10" s="34" t="s">
        <v>49</v>
      </c>
      <c r="B10" s="120">
        <v>221.08356371779894</v>
      </c>
      <c r="C10" s="120">
        <v>333.58580089517051</v>
      </c>
      <c r="D10" s="120">
        <v>273.4392771896068</v>
      </c>
      <c r="E10" s="120">
        <v>216.30129438098894</v>
      </c>
      <c r="F10" s="120">
        <v>298.3332687518735</v>
      </c>
      <c r="G10" s="120">
        <v>115.67633027146296</v>
      </c>
      <c r="H10" s="120">
        <v>363.23201666122344</v>
      </c>
      <c r="I10" s="120">
        <v>277.66833967616725</v>
      </c>
      <c r="J10" s="120">
        <v>268.9978689610345</v>
      </c>
      <c r="K10" s="120">
        <v>369.53414167861371</v>
      </c>
      <c r="L10" s="120">
        <v>118.54069708140668</v>
      </c>
      <c r="M10" s="120">
        <v>267.49848400865807</v>
      </c>
      <c r="N10" s="120">
        <v>285.04835760775649</v>
      </c>
      <c r="O10" s="120">
        <v>270.72746961340692</v>
      </c>
    </row>
    <row r="11" spans="1:15" ht="15" customHeight="1" x14ac:dyDescent="0.2">
      <c r="A11" s="35" t="s">
        <v>50</v>
      </c>
      <c r="B11" s="12">
        <v>335.76447123072847</v>
      </c>
      <c r="C11" s="12">
        <v>284.2381362050694</v>
      </c>
      <c r="D11" s="12">
        <v>311.78541000901618</v>
      </c>
      <c r="E11" s="12">
        <v>451.31604533448177</v>
      </c>
      <c r="F11" s="12">
        <v>473.54489725915141</v>
      </c>
      <c r="G11" s="12">
        <v>355.36722492458102</v>
      </c>
      <c r="H11" s="12">
        <v>522.93204301271533</v>
      </c>
      <c r="I11" s="12">
        <v>323.45128695454747</v>
      </c>
      <c r="J11" s="12">
        <v>432.30824140717692</v>
      </c>
      <c r="K11" s="12">
        <v>400.36384385189325</v>
      </c>
      <c r="L11" s="12">
        <v>58.474251628090116</v>
      </c>
      <c r="M11" s="12">
        <v>304.1773532661727</v>
      </c>
      <c r="N11" s="12">
        <v>297.94572118358866</v>
      </c>
      <c r="O11" s="12">
        <v>378.45325853213785</v>
      </c>
    </row>
    <row r="12" spans="1:15" ht="15" customHeight="1" x14ac:dyDescent="0.2">
      <c r="A12" s="34" t="s">
        <v>51</v>
      </c>
      <c r="B12" s="120">
        <v>368.84207299420456</v>
      </c>
      <c r="C12" s="120">
        <v>339.14237077519567</v>
      </c>
      <c r="D12" s="120">
        <v>355.02057807473108</v>
      </c>
      <c r="E12" s="120">
        <v>447.70150266602008</v>
      </c>
      <c r="F12" s="120">
        <v>379.49442036447186</v>
      </c>
      <c r="G12" s="120">
        <v>280.2761763417962</v>
      </c>
      <c r="H12" s="120">
        <v>452.82295364794248</v>
      </c>
      <c r="I12" s="120">
        <v>366.17930979149622</v>
      </c>
      <c r="J12" s="120">
        <v>395.40256945734762</v>
      </c>
      <c r="K12" s="120">
        <v>403.22682452216054</v>
      </c>
      <c r="L12" s="120">
        <v>47.927621171722478</v>
      </c>
      <c r="M12" s="120">
        <v>272.45937502545996</v>
      </c>
      <c r="N12" s="120">
        <v>287.67499488281146</v>
      </c>
      <c r="O12" s="120">
        <v>362.31141232992962</v>
      </c>
    </row>
    <row r="13" spans="1:15" ht="15" customHeight="1" x14ac:dyDescent="0.2">
      <c r="A13" s="35" t="s">
        <v>362</v>
      </c>
      <c r="B13" s="12">
        <v>385.90992173834496</v>
      </c>
      <c r="C13" s="12">
        <v>359.41570874427322</v>
      </c>
      <c r="D13" s="12">
        <v>373.58018093513118</v>
      </c>
      <c r="E13" s="12">
        <v>382.84579763027801</v>
      </c>
      <c r="F13" s="12">
        <v>420.20825711261767</v>
      </c>
      <c r="G13" s="12">
        <v>221.68482430204713</v>
      </c>
      <c r="H13" s="12">
        <v>507.17297795556988</v>
      </c>
      <c r="I13" s="12">
        <v>381.21252439340242</v>
      </c>
      <c r="J13" s="12">
        <v>395.22552685160218</v>
      </c>
      <c r="K13" s="12">
        <v>471.09121892387338</v>
      </c>
      <c r="L13" s="12">
        <v>69.562949602856435</v>
      </c>
      <c r="M13" s="12">
        <v>301.36892943197853</v>
      </c>
      <c r="N13" s="12">
        <v>333.84505942560776</v>
      </c>
      <c r="O13" s="12">
        <v>375.03619871558732</v>
      </c>
    </row>
    <row r="14" spans="1:15" ht="15" customHeight="1" x14ac:dyDescent="0.2">
      <c r="A14" s="34" t="s">
        <v>337</v>
      </c>
      <c r="B14" s="120">
        <v>425.37295936243169</v>
      </c>
      <c r="C14" s="120">
        <v>789.1692344153704</v>
      </c>
      <c r="D14" s="120">
        <v>594.67460186002347</v>
      </c>
      <c r="E14" s="120">
        <v>353.84635142134636</v>
      </c>
      <c r="F14" s="120">
        <v>404.46069494088056</v>
      </c>
      <c r="G14" s="120">
        <v>343.62390102663016</v>
      </c>
      <c r="H14" s="120">
        <v>531.45314196811432</v>
      </c>
      <c r="I14" s="120">
        <v>400.48731508587485</v>
      </c>
      <c r="J14" s="120">
        <v>392.31613282987831</v>
      </c>
      <c r="K14" s="120">
        <v>500.12999476874717</v>
      </c>
      <c r="L14" s="120">
        <v>250.63330144326986</v>
      </c>
      <c r="M14" s="120">
        <v>329.51444206476287</v>
      </c>
      <c r="N14" s="120">
        <v>395.38753826482326</v>
      </c>
      <c r="O14" s="120">
        <v>426.73365206377207</v>
      </c>
    </row>
    <row r="15" spans="1:15" ht="15" customHeight="1" x14ac:dyDescent="0.2">
      <c r="A15" s="8"/>
      <c r="B15" s="114"/>
      <c r="C15" s="114"/>
      <c r="D15" s="114"/>
      <c r="E15" s="114"/>
      <c r="F15" s="114"/>
      <c r="G15" s="114"/>
      <c r="H15" s="114"/>
      <c r="I15" s="114"/>
      <c r="J15" s="114"/>
      <c r="K15" s="114"/>
      <c r="L15" s="114"/>
      <c r="M15" s="114"/>
      <c r="N15" s="114"/>
      <c r="O15" s="120"/>
    </row>
    <row r="16" spans="1:15" ht="15" customHeight="1" x14ac:dyDescent="0.2">
      <c r="A16" s="9" t="s">
        <v>13</v>
      </c>
      <c r="B16" s="115">
        <v>208.32769308385525</v>
      </c>
      <c r="C16" s="115">
        <v>302.27735042957465</v>
      </c>
      <c r="D16" s="115">
        <v>252.04950221563277</v>
      </c>
      <c r="E16" s="115">
        <v>201.21381870385167</v>
      </c>
      <c r="F16" s="115">
        <v>221.71882674487128</v>
      </c>
      <c r="G16" s="115">
        <v>69.513821421972054</v>
      </c>
      <c r="H16" s="115">
        <v>236.51757108302783</v>
      </c>
      <c r="I16" s="115">
        <v>196.09951022610005</v>
      </c>
      <c r="J16" s="115">
        <v>204.17225783513626</v>
      </c>
      <c r="K16" s="115">
        <v>275.97806532204737</v>
      </c>
      <c r="L16" s="115">
        <v>126.52765295539719</v>
      </c>
      <c r="M16" s="115">
        <v>231.16023669965588</v>
      </c>
      <c r="N16" s="115">
        <v>230.34077256249023</v>
      </c>
      <c r="O16" s="115">
        <v>216.74392692737266</v>
      </c>
    </row>
    <row r="17" spans="1:15" ht="15" customHeight="1" x14ac:dyDescent="0.2">
      <c r="A17" s="9" t="s">
        <v>14</v>
      </c>
      <c r="B17" s="115">
        <v>182.70944680724315</v>
      </c>
      <c r="C17" s="115">
        <v>264.46723292853216</v>
      </c>
      <c r="D17" s="115">
        <v>220.75746551025716</v>
      </c>
      <c r="E17" s="115">
        <v>65.008409606453654</v>
      </c>
      <c r="F17" s="115">
        <v>163.8165315416795</v>
      </c>
      <c r="G17" s="115">
        <v>226.08550440064596</v>
      </c>
      <c r="H17" s="115">
        <v>242.30457974198819</v>
      </c>
      <c r="I17" s="115">
        <v>191.91356063242958</v>
      </c>
      <c r="J17" s="115">
        <v>134.70101573168645</v>
      </c>
      <c r="K17" s="115">
        <v>208.3512711120753</v>
      </c>
      <c r="L17" s="115">
        <v>128.10837449757398</v>
      </c>
      <c r="M17" s="115">
        <v>163.19305386870806</v>
      </c>
      <c r="N17" s="115">
        <v>177.52253216846483</v>
      </c>
      <c r="O17" s="115">
        <v>158.24045892309434</v>
      </c>
    </row>
    <row r="18" spans="1:15" ht="15" customHeight="1" x14ac:dyDescent="0.2">
      <c r="A18" s="9" t="s">
        <v>15</v>
      </c>
      <c r="B18" s="115">
        <v>179.17548927145563</v>
      </c>
      <c r="C18" s="115">
        <v>240.91190895187131</v>
      </c>
      <c r="D18" s="115">
        <v>207.90606726402598</v>
      </c>
      <c r="E18" s="115">
        <v>142.61392968317131</v>
      </c>
      <c r="F18" s="115">
        <v>217.33263529953831</v>
      </c>
      <c r="G18" s="115">
        <v>87.390979740476268</v>
      </c>
      <c r="H18" s="115">
        <v>276.24912475262039</v>
      </c>
      <c r="I18" s="115">
        <v>329.50278982907918</v>
      </c>
      <c r="J18" s="115">
        <v>196.13984878154542</v>
      </c>
      <c r="K18" s="115">
        <v>289.8914138931658</v>
      </c>
      <c r="L18" s="115">
        <v>55.380308939267742</v>
      </c>
      <c r="M18" s="115">
        <v>215.02986859910948</v>
      </c>
      <c r="N18" s="115">
        <v>216.99117594596478</v>
      </c>
      <c r="O18" s="115">
        <v>200.77318509382167</v>
      </c>
    </row>
    <row r="19" spans="1:15" ht="15" customHeight="1" x14ac:dyDescent="0.2">
      <c r="A19" s="9" t="s">
        <v>16</v>
      </c>
      <c r="B19" s="115">
        <v>201.28215851708853</v>
      </c>
      <c r="C19" s="115">
        <v>244.84871837683571</v>
      </c>
      <c r="D19" s="115">
        <v>221.55694044318588</v>
      </c>
      <c r="E19" s="115">
        <v>137.60288354249658</v>
      </c>
      <c r="F19" s="115">
        <v>242.89403296756942</v>
      </c>
      <c r="G19" s="115">
        <v>327.36149463804702</v>
      </c>
      <c r="H19" s="115">
        <v>294.64997269633955</v>
      </c>
      <c r="I19" s="115">
        <v>233.74748355589054</v>
      </c>
      <c r="J19" s="115">
        <v>203.91062708089999</v>
      </c>
      <c r="K19" s="115">
        <v>291.67083656892009</v>
      </c>
      <c r="L19" s="115">
        <v>77.107908836463835</v>
      </c>
      <c r="M19" s="115">
        <v>216.4746957525891</v>
      </c>
      <c r="N19" s="115">
        <v>222.94043780163761</v>
      </c>
      <c r="O19" s="115">
        <v>209.1829874828411</v>
      </c>
    </row>
    <row r="20" spans="1:15" ht="15" customHeight="1" x14ac:dyDescent="0.2">
      <c r="A20" s="8" t="s">
        <v>17</v>
      </c>
      <c r="B20" s="114">
        <v>261.97115580276551</v>
      </c>
      <c r="C20" s="114">
        <v>293.62465985133377</v>
      </c>
      <c r="D20" s="114">
        <v>276.70190098548341</v>
      </c>
      <c r="E20" s="114">
        <v>220.51476553377233</v>
      </c>
      <c r="F20" s="114">
        <v>269.3030804930745</v>
      </c>
      <c r="G20" s="114">
        <v>100.45460427773985</v>
      </c>
      <c r="H20" s="114">
        <v>362.54552766725516</v>
      </c>
      <c r="I20" s="114">
        <v>242.66246114696446</v>
      </c>
      <c r="J20" s="114">
        <v>255.12793288294293</v>
      </c>
      <c r="K20" s="114">
        <v>351.72940922321413</v>
      </c>
      <c r="L20" s="114">
        <v>93.782528702345942</v>
      </c>
      <c r="M20" s="114">
        <v>236.99284700411116</v>
      </c>
      <c r="N20" s="114">
        <v>261.73004879648505</v>
      </c>
      <c r="O20" s="114">
        <v>258.11169283999465</v>
      </c>
    </row>
    <row r="21" spans="1:15" ht="15" customHeight="1" x14ac:dyDescent="0.2">
      <c r="A21" s="8" t="s">
        <v>18</v>
      </c>
      <c r="B21" s="114">
        <v>218.00963360791638</v>
      </c>
      <c r="C21" s="114">
        <v>308.68515446552641</v>
      </c>
      <c r="D21" s="114">
        <v>260.20774191258255</v>
      </c>
      <c r="E21" s="114">
        <v>187.06615970301462</v>
      </c>
      <c r="F21" s="114">
        <v>288.33757942698395</v>
      </c>
      <c r="G21" s="114">
        <v>182.16838500740911</v>
      </c>
      <c r="H21" s="114">
        <v>396.5570262760296</v>
      </c>
      <c r="I21" s="114">
        <v>241.72936140124625</v>
      </c>
      <c r="J21" s="114">
        <v>258.68841306864476</v>
      </c>
      <c r="K21" s="114">
        <v>358.62880538409723</v>
      </c>
      <c r="L21" s="114">
        <v>115.01931673163851</v>
      </c>
      <c r="M21" s="114">
        <v>272.41778745280459</v>
      </c>
      <c r="N21" s="114">
        <v>280.39534767034388</v>
      </c>
      <c r="O21" s="114">
        <v>261.04265068325969</v>
      </c>
    </row>
    <row r="22" spans="1:15" ht="15" customHeight="1" x14ac:dyDescent="0.2">
      <c r="A22" s="8" t="s">
        <v>19</v>
      </c>
      <c r="B22" s="114">
        <v>186.23330493063182</v>
      </c>
      <c r="C22" s="114">
        <v>389.17055615735126</v>
      </c>
      <c r="D22" s="114">
        <v>280.67520088360828</v>
      </c>
      <c r="E22" s="114">
        <v>189.06186368904216</v>
      </c>
      <c r="F22" s="114">
        <v>296.44522109168457</v>
      </c>
      <c r="G22" s="114">
        <v>20.436347587485422</v>
      </c>
      <c r="H22" s="114">
        <v>333.00096107352391</v>
      </c>
      <c r="I22" s="114">
        <v>285.77203510950534</v>
      </c>
      <c r="J22" s="114">
        <v>250.67993140780425</v>
      </c>
      <c r="K22" s="114">
        <v>362.70599919541377</v>
      </c>
      <c r="L22" s="114">
        <v>140.32231850847771</v>
      </c>
      <c r="M22" s="114">
        <v>258.36839834632775</v>
      </c>
      <c r="N22" s="114">
        <v>283.99834238804561</v>
      </c>
      <c r="O22" s="114">
        <v>260.78948552330775</v>
      </c>
    </row>
    <row r="23" spans="1:15" ht="15" customHeight="1" x14ac:dyDescent="0.2">
      <c r="A23" s="8" t="s">
        <v>20</v>
      </c>
      <c r="B23" s="114">
        <v>218.12016052988193</v>
      </c>
      <c r="C23" s="114">
        <v>342.86283310647082</v>
      </c>
      <c r="D23" s="114">
        <v>276.17226497675296</v>
      </c>
      <c r="E23" s="114">
        <v>268.56238859812669</v>
      </c>
      <c r="F23" s="114">
        <v>339.2471939957511</v>
      </c>
      <c r="G23" s="114">
        <v>159.64598421321739</v>
      </c>
      <c r="H23" s="114">
        <v>360.82455162808498</v>
      </c>
      <c r="I23" s="114">
        <v>340.50950104695272</v>
      </c>
      <c r="J23" s="114">
        <v>311.49519848474591</v>
      </c>
      <c r="K23" s="114">
        <v>405.07235291172964</v>
      </c>
      <c r="L23" s="114">
        <v>125.03862438316456</v>
      </c>
      <c r="M23" s="114">
        <v>302.21490323138897</v>
      </c>
      <c r="N23" s="114">
        <v>314.06969157615146</v>
      </c>
      <c r="O23" s="114">
        <v>302.96604940706578</v>
      </c>
    </row>
    <row r="24" spans="1:15" ht="15" customHeight="1" x14ac:dyDescent="0.2">
      <c r="A24" s="9" t="s">
        <v>21</v>
      </c>
      <c r="B24" s="115">
        <v>300.07510447717573</v>
      </c>
      <c r="C24" s="115">
        <v>284.92715507752621</v>
      </c>
      <c r="D24" s="115">
        <v>293.02562956581801</v>
      </c>
      <c r="E24" s="115">
        <v>364.04549666233419</v>
      </c>
      <c r="F24" s="115">
        <v>372.67359091554476</v>
      </c>
      <c r="G24" s="115">
        <v>75.953146884590339</v>
      </c>
      <c r="H24" s="115">
        <v>397.70150922214907</v>
      </c>
      <c r="I24" s="115">
        <v>237.09456146382308</v>
      </c>
      <c r="J24" s="115">
        <v>347.96764489144289</v>
      </c>
      <c r="K24" s="115">
        <v>403.30784908795493</v>
      </c>
      <c r="L24" s="115">
        <v>81.992006334572338</v>
      </c>
      <c r="M24" s="115">
        <v>320.53669619134462</v>
      </c>
      <c r="N24" s="115">
        <v>309.41555206222915</v>
      </c>
      <c r="O24" s="115">
        <v>326.6186550805453</v>
      </c>
    </row>
    <row r="25" spans="1:15" ht="15" customHeight="1" x14ac:dyDescent="0.2">
      <c r="A25" s="9" t="s">
        <v>22</v>
      </c>
      <c r="B25" s="115">
        <v>315.23006086110894</v>
      </c>
      <c r="C25" s="115">
        <v>259.89628858911846</v>
      </c>
      <c r="D25" s="115">
        <v>289.479114043766</v>
      </c>
      <c r="E25" s="115">
        <v>466.13885021820829</v>
      </c>
      <c r="F25" s="115">
        <v>544.1442130980704</v>
      </c>
      <c r="G25" s="115">
        <v>117.23171200949601</v>
      </c>
      <c r="H25" s="115">
        <v>582.9219562274501</v>
      </c>
      <c r="I25" s="115">
        <v>250.23436217245924</v>
      </c>
      <c r="J25" s="115">
        <v>460.64590109986312</v>
      </c>
      <c r="K25" s="115">
        <v>443.23444753644117</v>
      </c>
      <c r="L25" s="115">
        <v>73.826419867065724</v>
      </c>
      <c r="M25" s="115">
        <v>321.40480608578514</v>
      </c>
      <c r="N25" s="115">
        <v>327.30182732672057</v>
      </c>
      <c r="O25" s="115">
        <v>397.23952424554983</v>
      </c>
    </row>
    <row r="26" spans="1:15" ht="15" customHeight="1" x14ac:dyDescent="0.2">
      <c r="A26" s="9" t="s">
        <v>23</v>
      </c>
      <c r="B26" s="115">
        <v>358.47108360955116</v>
      </c>
      <c r="C26" s="115">
        <v>272.82533655004676</v>
      </c>
      <c r="D26" s="115">
        <v>318.61370560864287</v>
      </c>
      <c r="E26" s="115">
        <v>466.91412399507846</v>
      </c>
      <c r="F26" s="115">
        <v>509.94987301266656</v>
      </c>
      <c r="G26" s="115">
        <v>311.185859037603</v>
      </c>
      <c r="H26" s="115">
        <v>592.14677271845414</v>
      </c>
      <c r="I26" s="115">
        <v>251.5543259515762</v>
      </c>
      <c r="J26" s="115">
        <v>450.9857701442416</v>
      </c>
      <c r="K26" s="115">
        <v>372.1937209456525</v>
      </c>
      <c r="L26" s="115">
        <v>35.55116161073353</v>
      </c>
      <c r="M26" s="115">
        <v>294.46741969385289</v>
      </c>
      <c r="N26" s="115">
        <v>276.38895962003795</v>
      </c>
      <c r="O26" s="115">
        <v>386.86504849024737</v>
      </c>
    </row>
    <row r="27" spans="1:15" ht="15" customHeight="1" x14ac:dyDescent="0.2">
      <c r="A27" s="9" t="s">
        <v>24</v>
      </c>
      <c r="B27" s="115">
        <v>369.28163597507779</v>
      </c>
      <c r="C27" s="115">
        <v>319.30376460358616</v>
      </c>
      <c r="D27" s="115">
        <v>346.02319081783799</v>
      </c>
      <c r="E27" s="115">
        <v>508.16571046230592</v>
      </c>
      <c r="F27" s="115">
        <v>467.41191201032376</v>
      </c>
      <c r="G27" s="115">
        <v>917.09818176663464</v>
      </c>
      <c r="H27" s="115">
        <v>518.95793388280845</v>
      </c>
      <c r="I27" s="115">
        <v>554.92189823033129</v>
      </c>
      <c r="J27" s="115">
        <v>469.63364949316014</v>
      </c>
      <c r="K27" s="115">
        <v>382.71935783752411</v>
      </c>
      <c r="L27" s="115">
        <v>42.527418699988893</v>
      </c>
      <c r="M27" s="115">
        <v>280.30049109370776</v>
      </c>
      <c r="N27" s="115">
        <v>278.6765457253673</v>
      </c>
      <c r="O27" s="115">
        <v>403.08980631220879</v>
      </c>
    </row>
    <row r="28" spans="1:15" ht="15" customHeight="1" x14ac:dyDescent="0.2">
      <c r="A28" s="8" t="s">
        <v>25</v>
      </c>
      <c r="B28" s="114">
        <v>353.736388811989</v>
      </c>
      <c r="C28" s="114">
        <v>331.06388993317881</v>
      </c>
      <c r="D28" s="114">
        <v>343.18517770036124</v>
      </c>
      <c r="E28" s="114">
        <v>453.70800616500537</v>
      </c>
      <c r="F28" s="114">
        <v>414.12474677834507</v>
      </c>
      <c r="G28" s="114">
        <v>201.7529179589279</v>
      </c>
      <c r="H28" s="114">
        <v>453.95888855153675</v>
      </c>
      <c r="I28" s="114">
        <v>373.75118288546673</v>
      </c>
      <c r="J28" s="114">
        <v>402.44129823829809</v>
      </c>
      <c r="K28" s="114">
        <v>374.14916617933756</v>
      </c>
      <c r="L28" s="114">
        <v>40.768508495247389</v>
      </c>
      <c r="M28" s="114">
        <v>250.26574909496114</v>
      </c>
      <c r="N28" s="114">
        <v>265.42098705761697</v>
      </c>
      <c r="O28" s="114">
        <v>359.63685924290513</v>
      </c>
    </row>
    <row r="29" spans="1:15" ht="15" customHeight="1" x14ac:dyDescent="0.2">
      <c r="A29" s="8" t="s">
        <v>26</v>
      </c>
      <c r="B29" s="114">
        <v>387.69870259862074</v>
      </c>
      <c r="C29" s="114">
        <v>325.55883920185391</v>
      </c>
      <c r="D29" s="114">
        <v>358.78037204089929</v>
      </c>
      <c r="E29" s="114">
        <v>452.40376358035263</v>
      </c>
      <c r="F29" s="114">
        <v>358.13079679513959</v>
      </c>
      <c r="G29" s="114">
        <v>212.26093117398884</v>
      </c>
      <c r="H29" s="114">
        <v>409.69499879479525</v>
      </c>
      <c r="I29" s="114">
        <v>441.63125354734296</v>
      </c>
      <c r="J29" s="114">
        <v>387.42584516219341</v>
      </c>
      <c r="K29" s="114">
        <v>343.50933494361288</v>
      </c>
      <c r="L29" s="114">
        <v>32.326069709796037</v>
      </c>
      <c r="M29" s="114">
        <v>246.48859656330805</v>
      </c>
      <c r="N29" s="114">
        <v>247.44013171450311</v>
      </c>
      <c r="O29" s="114">
        <v>350.20071495036467</v>
      </c>
    </row>
    <row r="30" spans="1:15" ht="15" customHeight="1" x14ac:dyDescent="0.2">
      <c r="A30" s="8" t="s">
        <v>27</v>
      </c>
      <c r="B30" s="114">
        <v>361.48915289339953</v>
      </c>
      <c r="C30" s="114">
        <v>323.71139421104226</v>
      </c>
      <c r="D30" s="114">
        <v>343.90833353544969</v>
      </c>
      <c r="E30" s="114">
        <v>419.10675506628382</v>
      </c>
      <c r="F30" s="114">
        <v>355.82737320045908</v>
      </c>
      <c r="G30" s="114">
        <v>354.40138142584965</v>
      </c>
      <c r="H30" s="114">
        <v>455.52347225692876</v>
      </c>
      <c r="I30" s="114">
        <v>326.56650401361452</v>
      </c>
      <c r="J30" s="114">
        <v>375.42070146331866</v>
      </c>
      <c r="K30" s="114">
        <v>452.99327302863259</v>
      </c>
      <c r="L30" s="114">
        <v>38.828313782626289</v>
      </c>
      <c r="M30" s="114">
        <v>272.92728825836326</v>
      </c>
      <c r="N30" s="114">
        <v>310.06103308792484</v>
      </c>
      <c r="O30" s="114">
        <v>352.8018696387644</v>
      </c>
    </row>
    <row r="31" spans="1:15" ht="15" customHeight="1" x14ac:dyDescent="0.2">
      <c r="A31" s="8" t="s">
        <v>28</v>
      </c>
      <c r="B31" s="114">
        <v>372.44404767280895</v>
      </c>
      <c r="C31" s="114">
        <v>376.23535975470759</v>
      </c>
      <c r="D31" s="114">
        <v>374.20842902221392</v>
      </c>
      <c r="E31" s="114">
        <v>465.58748585243831</v>
      </c>
      <c r="F31" s="114">
        <v>389.89476468394378</v>
      </c>
      <c r="G31" s="114">
        <v>352.68947480841825</v>
      </c>
      <c r="H31" s="114">
        <v>492.1144549885089</v>
      </c>
      <c r="I31" s="114">
        <v>322.76829871956073</v>
      </c>
      <c r="J31" s="114">
        <v>416.32243296557999</v>
      </c>
      <c r="K31" s="114">
        <v>442.2555239370588</v>
      </c>
      <c r="L31" s="114">
        <v>79.787592699220184</v>
      </c>
      <c r="M31" s="114">
        <v>320.15586618520734</v>
      </c>
      <c r="N31" s="114">
        <v>327.77782767120084</v>
      </c>
      <c r="O31" s="114">
        <v>386.60620548768424</v>
      </c>
    </row>
    <row r="32" spans="1:15" ht="15" customHeight="1" x14ac:dyDescent="0.2">
      <c r="A32" s="9" t="s">
        <v>369</v>
      </c>
      <c r="B32" s="115">
        <v>366.57710580704338</v>
      </c>
      <c r="C32" s="115">
        <v>350.65823481405522</v>
      </c>
      <c r="D32" s="115">
        <v>359.1688633630327</v>
      </c>
      <c r="E32" s="115">
        <v>425.96074606762659</v>
      </c>
      <c r="F32" s="115">
        <v>403.75191796885747</v>
      </c>
      <c r="G32" s="115">
        <v>86.960536313845481</v>
      </c>
      <c r="H32" s="115">
        <v>513.04779536359979</v>
      </c>
      <c r="I32" s="115">
        <v>122.31819226154745</v>
      </c>
      <c r="J32" s="115">
        <v>389.59069386302548</v>
      </c>
      <c r="K32" s="115">
        <v>427.9484217818719</v>
      </c>
      <c r="L32" s="115">
        <v>54.892110717908942</v>
      </c>
      <c r="M32" s="115">
        <v>290.77703709977067</v>
      </c>
      <c r="N32" s="115">
        <v>306.5193193360214</v>
      </c>
      <c r="O32" s="115">
        <v>363.39412183277818</v>
      </c>
    </row>
    <row r="33" spans="1:15" ht="15" customHeight="1" x14ac:dyDescent="0.2">
      <c r="A33" s="9" t="s">
        <v>370</v>
      </c>
      <c r="B33" s="115">
        <v>326.82852301293968</v>
      </c>
      <c r="C33" s="115">
        <v>301.7353789152541</v>
      </c>
      <c r="D33" s="115">
        <v>315.15080445865073</v>
      </c>
      <c r="E33" s="115">
        <v>363.95112055814144</v>
      </c>
      <c r="F33" s="115">
        <v>393.87492396605768</v>
      </c>
      <c r="G33" s="115">
        <v>126.89720208238742</v>
      </c>
      <c r="H33" s="115">
        <v>457.21345129116997</v>
      </c>
      <c r="I33" s="115">
        <v>422.86617300747889</v>
      </c>
      <c r="J33" s="115">
        <v>370.84836396975339</v>
      </c>
      <c r="K33" s="115">
        <v>401.37948349048338</v>
      </c>
      <c r="L33" s="115">
        <v>57.221207766676741</v>
      </c>
      <c r="M33" s="115">
        <v>275.87366215970178</v>
      </c>
      <c r="N33" s="115">
        <v>289.65876417882441</v>
      </c>
      <c r="O33" s="115">
        <v>340.42151477032434</v>
      </c>
    </row>
    <row r="34" spans="1:15" ht="15" customHeight="1" x14ac:dyDescent="0.2">
      <c r="A34" s="9" t="s">
        <v>371</v>
      </c>
      <c r="B34" s="115">
        <v>414.79501578100553</v>
      </c>
      <c r="C34" s="115">
        <v>378.98197622869094</v>
      </c>
      <c r="D34" s="115">
        <v>398.1285273235419</v>
      </c>
      <c r="E34" s="115">
        <v>373.38293353472818</v>
      </c>
      <c r="F34" s="115">
        <v>444.70235870087481</v>
      </c>
      <c r="G34" s="115">
        <v>351.55686769278662</v>
      </c>
      <c r="H34" s="115">
        <v>578.25171369745351</v>
      </c>
      <c r="I34" s="115">
        <v>475.22024434218019</v>
      </c>
      <c r="J34" s="115">
        <v>418.78872140705124</v>
      </c>
      <c r="K34" s="115">
        <v>515.90614947888037</v>
      </c>
      <c r="L34" s="115">
        <v>89.518532039703359</v>
      </c>
      <c r="M34" s="115">
        <v>334.87869466135271</v>
      </c>
      <c r="N34" s="115">
        <v>369.96104483915764</v>
      </c>
      <c r="O34" s="115">
        <v>400.97189110623759</v>
      </c>
    </row>
    <row r="35" spans="1:15" ht="15" customHeight="1" x14ac:dyDescent="0.2">
      <c r="A35" s="9" t="s">
        <v>372</v>
      </c>
      <c r="B35" s="115">
        <v>435.43904235239097</v>
      </c>
      <c r="C35" s="115">
        <v>406.28724501909278</v>
      </c>
      <c r="D35" s="115">
        <v>421.87252859529963</v>
      </c>
      <c r="E35" s="115">
        <v>368.0883903606159</v>
      </c>
      <c r="F35" s="115">
        <v>438.50382781468028</v>
      </c>
      <c r="G35" s="115">
        <v>321.32469111916907</v>
      </c>
      <c r="H35" s="115">
        <v>480.17895147005646</v>
      </c>
      <c r="I35" s="115">
        <v>504.44548796240315</v>
      </c>
      <c r="J35" s="115">
        <v>401.67432816657862</v>
      </c>
      <c r="K35" s="115">
        <v>539.13082094425761</v>
      </c>
      <c r="L35" s="115">
        <v>76.619947887136632</v>
      </c>
      <c r="M35" s="115">
        <v>303.9463238070893</v>
      </c>
      <c r="N35" s="115">
        <v>369.24110934842753</v>
      </c>
      <c r="O35" s="115">
        <v>395.35726715300922</v>
      </c>
    </row>
    <row r="36" spans="1:15" ht="15" customHeight="1" x14ac:dyDescent="0.2">
      <c r="A36" s="8" t="s">
        <v>246</v>
      </c>
      <c r="B36" s="114">
        <v>502.70110850482644</v>
      </c>
      <c r="C36" s="114">
        <v>421.44763153143884</v>
      </c>
      <c r="D36" s="114">
        <v>464.88778260358413</v>
      </c>
      <c r="E36" s="114">
        <v>364.22556249816489</v>
      </c>
      <c r="F36" s="114">
        <v>392.79647383415295</v>
      </c>
      <c r="G36" s="114">
        <v>224.1615925794205</v>
      </c>
      <c r="H36" s="114">
        <v>498.23664901505964</v>
      </c>
      <c r="I36" s="114">
        <v>326.95471063960565</v>
      </c>
      <c r="J36" s="114">
        <v>372.07162592669903</v>
      </c>
      <c r="K36" s="114">
        <v>493.45953652759823</v>
      </c>
      <c r="L36" s="114">
        <v>105.80884226821574</v>
      </c>
      <c r="M36" s="114">
        <v>298.69946661272985</v>
      </c>
      <c r="N36" s="114">
        <v>351.81170738991568</v>
      </c>
      <c r="O36" s="114">
        <v>382.03564707460208</v>
      </c>
    </row>
    <row r="37" spans="1:15" ht="15" customHeight="1" x14ac:dyDescent="0.2">
      <c r="A37" s="8" t="s">
        <v>247</v>
      </c>
      <c r="B37" s="114">
        <v>368.26055013703495</v>
      </c>
      <c r="C37" s="114">
        <v>696.96223848578177</v>
      </c>
      <c r="D37" s="114">
        <v>521.23005407457913</v>
      </c>
      <c r="E37" s="114">
        <v>326.91191530857839</v>
      </c>
      <c r="F37" s="114">
        <v>385.42754391705603</v>
      </c>
      <c r="G37" s="114">
        <v>188.38224611960268</v>
      </c>
      <c r="H37" s="114">
        <v>491.66300748584757</v>
      </c>
      <c r="I37" s="114">
        <v>155.73699042106577</v>
      </c>
      <c r="J37" s="114">
        <v>357.63104220001077</v>
      </c>
      <c r="K37" s="114">
        <v>457.7650766578443</v>
      </c>
      <c r="L37" s="114">
        <v>203.44269008180763</v>
      </c>
      <c r="M37" s="114">
        <v>315.51709265720092</v>
      </c>
      <c r="N37" s="114">
        <v>360.39854840173695</v>
      </c>
      <c r="O37" s="114">
        <v>384.96690346797914</v>
      </c>
    </row>
    <row r="38" spans="1:15" ht="15" customHeight="1" x14ac:dyDescent="0.2">
      <c r="A38" s="8" t="s">
        <v>339</v>
      </c>
      <c r="B38" s="114">
        <v>379.54040760246153</v>
      </c>
      <c r="C38" s="114">
        <v>954.8817386503415</v>
      </c>
      <c r="D38" s="114">
        <v>647.2898020375269</v>
      </c>
      <c r="E38" s="114">
        <v>338.93514728163433</v>
      </c>
      <c r="F38" s="114">
        <v>413.39404440749655</v>
      </c>
      <c r="G38" s="114">
        <v>480.50898157961359</v>
      </c>
      <c r="H38" s="114">
        <v>538.84194927345857</v>
      </c>
      <c r="I38" s="114">
        <v>525.85987402810531</v>
      </c>
      <c r="J38" s="114">
        <v>403.27740992129719</v>
      </c>
      <c r="K38" s="114">
        <v>510.07635616384982</v>
      </c>
      <c r="L38" s="114">
        <v>325.54168634966896</v>
      </c>
      <c r="M38" s="114">
        <v>337.80645307007427</v>
      </c>
      <c r="N38" s="114">
        <v>418.73354396957842</v>
      </c>
      <c r="O38" s="114">
        <v>447.84467082621831</v>
      </c>
    </row>
    <row r="39" spans="1:15" ht="15" customHeight="1" x14ac:dyDescent="0.2">
      <c r="A39" s="8" t="s">
        <v>340</v>
      </c>
      <c r="B39" s="114">
        <v>450.98977120540394</v>
      </c>
      <c r="C39" s="114">
        <v>1083.3853289939188</v>
      </c>
      <c r="D39" s="114">
        <v>745.29076872440385</v>
      </c>
      <c r="E39" s="114">
        <v>385.31278059700776</v>
      </c>
      <c r="F39" s="114">
        <v>426.22471760481693</v>
      </c>
      <c r="G39" s="114">
        <v>481.44278382788366</v>
      </c>
      <c r="H39" s="114">
        <v>597.0709620980914</v>
      </c>
      <c r="I39" s="114">
        <v>593.39768525472255</v>
      </c>
      <c r="J39" s="114">
        <v>436.28445327150638</v>
      </c>
      <c r="K39" s="114">
        <v>539.21900972569654</v>
      </c>
      <c r="L39" s="114">
        <v>367.73998707338706</v>
      </c>
      <c r="M39" s="114">
        <v>366.0347559190464</v>
      </c>
      <c r="N39" s="114">
        <v>450.60635329806229</v>
      </c>
      <c r="O39" s="114">
        <v>492.08738688628881</v>
      </c>
    </row>
    <row r="40" spans="1:15" ht="15" customHeight="1" x14ac:dyDescent="0.2">
      <c r="A40" s="9" t="s">
        <v>384</v>
      </c>
      <c r="B40" s="115">
        <v>423.6015193477221</v>
      </c>
      <c r="C40" s="115">
        <v>895.48775035058554</v>
      </c>
      <c r="D40" s="115">
        <v>643.20551053525503</v>
      </c>
      <c r="E40" s="115">
        <v>463.21536237241781</v>
      </c>
      <c r="F40" s="115">
        <v>429.59418934869785</v>
      </c>
      <c r="G40" s="115">
        <v>128.32152723582411</v>
      </c>
      <c r="H40" s="115">
        <v>568.95197070497068</v>
      </c>
      <c r="I40" s="115">
        <v>392.62268895734115</v>
      </c>
      <c r="J40" s="115">
        <v>435.25132345373714</v>
      </c>
      <c r="K40" s="115">
        <v>562.22243224821204</v>
      </c>
      <c r="L40" s="115">
        <v>365.62218986246063</v>
      </c>
      <c r="M40" s="115">
        <v>326.74729333637532</v>
      </c>
      <c r="N40" s="115">
        <v>449.61709341532452</v>
      </c>
      <c r="O40" s="115">
        <v>472.65374615971535</v>
      </c>
    </row>
    <row r="41" spans="1:15" ht="15" customHeight="1" x14ac:dyDescent="0.2">
      <c r="A41" s="8"/>
      <c r="B41" s="120"/>
      <c r="C41" s="120"/>
      <c r="D41" s="120"/>
      <c r="E41" s="120"/>
      <c r="F41" s="120"/>
      <c r="G41" s="120"/>
      <c r="H41" s="120"/>
      <c r="I41" s="120"/>
      <c r="J41" s="120"/>
      <c r="K41" s="120"/>
      <c r="L41" s="120"/>
      <c r="M41" s="120"/>
      <c r="N41" s="120"/>
      <c r="O41" s="120"/>
    </row>
    <row r="42" spans="1:15" ht="15" customHeight="1" x14ac:dyDescent="0.2">
      <c r="A42" s="10">
        <v>43831</v>
      </c>
      <c r="B42" s="12">
        <v>214.74541286143042</v>
      </c>
      <c r="C42" s="12">
        <v>374.88832518566136</v>
      </c>
      <c r="D42" s="12">
        <v>289.2718991122718</v>
      </c>
      <c r="E42" s="12">
        <v>184.78797372927568</v>
      </c>
      <c r="F42" s="12">
        <v>320.10355756984751</v>
      </c>
      <c r="G42" s="12">
        <v>47.851113693042549</v>
      </c>
      <c r="H42" s="12">
        <v>274.44730309844408</v>
      </c>
      <c r="I42" s="12">
        <v>64.524998073249947</v>
      </c>
      <c r="J42" s="12">
        <v>223.53945438474108</v>
      </c>
      <c r="K42" s="12">
        <v>372.34989644114597</v>
      </c>
      <c r="L42" s="12">
        <v>162.13276248662407</v>
      </c>
      <c r="M42" s="12">
        <v>279.48688053605463</v>
      </c>
      <c r="N42" s="12">
        <v>299.25019254671099</v>
      </c>
      <c r="O42" s="12">
        <v>249.17855205825566</v>
      </c>
    </row>
    <row r="43" spans="1:15" ht="15" customHeight="1" x14ac:dyDescent="0.2">
      <c r="A43" s="10">
        <v>43862</v>
      </c>
      <c r="B43" s="12">
        <v>197.84788399308556</v>
      </c>
      <c r="C43" s="12">
        <v>320.36506358821225</v>
      </c>
      <c r="D43" s="12">
        <v>254.86429994349356</v>
      </c>
      <c r="E43" s="12">
        <v>265.34909883129779</v>
      </c>
      <c r="F43" s="12">
        <v>193.86813518904617</v>
      </c>
      <c r="G43" s="12">
        <v>106.24883363376117</v>
      </c>
      <c r="H43" s="12">
        <v>238.59220818834874</v>
      </c>
      <c r="I43" s="12">
        <v>61.209543822502916</v>
      </c>
      <c r="J43" s="12">
        <v>218.22826765044678</v>
      </c>
      <c r="K43" s="12">
        <v>264.3305893567545</v>
      </c>
      <c r="L43" s="12">
        <v>105.8908412384707</v>
      </c>
      <c r="M43" s="12">
        <v>240.31286830624671</v>
      </c>
      <c r="N43" s="12">
        <v>222.97151256383168</v>
      </c>
      <c r="O43" s="12">
        <v>224.5336006928141</v>
      </c>
    </row>
    <row r="44" spans="1:15" ht="15" customHeight="1" x14ac:dyDescent="0.2">
      <c r="A44" s="10">
        <v>43891</v>
      </c>
      <c r="B44" s="12">
        <v>212.38978239704974</v>
      </c>
      <c r="C44" s="12">
        <v>211.57866251485027</v>
      </c>
      <c r="D44" s="12">
        <v>212.01230759113304</v>
      </c>
      <c r="E44" s="12">
        <v>153.50438355098154</v>
      </c>
      <c r="F44" s="12">
        <v>151.18478747572007</v>
      </c>
      <c r="G44" s="12">
        <v>54.441516939112432</v>
      </c>
      <c r="H44" s="12">
        <v>196.51320196229065</v>
      </c>
      <c r="I44" s="12">
        <v>462.56398878254726</v>
      </c>
      <c r="J44" s="12">
        <v>170.74905147022088</v>
      </c>
      <c r="K44" s="12">
        <v>191.25371016824164</v>
      </c>
      <c r="L44" s="12">
        <v>111.55935514109682</v>
      </c>
      <c r="M44" s="12">
        <v>173.68096125666625</v>
      </c>
      <c r="N44" s="12">
        <v>168.80061257692807</v>
      </c>
      <c r="O44" s="12">
        <v>176.51962803104828</v>
      </c>
    </row>
    <row r="45" spans="1:15" ht="15" customHeight="1" x14ac:dyDescent="0.2">
      <c r="A45" s="10">
        <v>43922</v>
      </c>
      <c r="B45" s="12">
        <v>211.94596095649777</v>
      </c>
      <c r="C45" s="12">
        <v>294.84669186248743</v>
      </c>
      <c r="D45" s="12">
        <v>250.52587743473151</v>
      </c>
      <c r="E45" s="12">
        <v>82.09618012800243</v>
      </c>
      <c r="F45" s="12">
        <v>166.36182235363344</v>
      </c>
      <c r="G45" s="12">
        <v>248.79813793732049</v>
      </c>
      <c r="H45" s="12">
        <v>255.92248230789627</v>
      </c>
      <c r="I45" s="12">
        <v>69.494930115375666</v>
      </c>
      <c r="J45" s="12">
        <v>145.12809728358087</v>
      </c>
      <c r="K45" s="12">
        <v>173.31840362425228</v>
      </c>
      <c r="L45" s="12">
        <v>246.67478828943734</v>
      </c>
      <c r="M45" s="12">
        <v>162.08018326678902</v>
      </c>
      <c r="N45" s="12">
        <v>185.65719437915905</v>
      </c>
      <c r="O45" s="12">
        <v>171.57759574091926</v>
      </c>
    </row>
    <row r="46" spans="1:15" ht="15" customHeight="1" x14ac:dyDescent="0.2">
      <c r="A46" s="10">
        <v>43952</v>
      </c>
      <c r="B46" s="12">
        <v>184.09245854354003</v>
      </c>
      <c r="C46" s="12">
        <v>246.34868680144035</v>
      </c>
      <c r="D46" s="12">
        <v>213.06494238283651</v>
      </c>
      <c r="E46" s="12">
        <v>41.243386341826003</v>
      </c>
      <c r="F46" s="12">
        <v>133.41649552636267</v>
      </c>
      <c r="G46" s="12">
        <v>247.11681992796451</v>
      </c>
      <c r="H46" s="12">
        <v>232.10403933805043</v>
      </c>
      <c r="I46" s="12">
        <v>299.32021340328765</v>
      </c>
      <c r="J46" s="12">
        <v>120.4784587972396</v>
      </c>
      <c r="K46" s="12">
        <v>235.67297233911657</v>
      </c>
      <c r="L46" s="12">
        <v>83.575518978746587</v>
      </c>
      <c r="M46" s="12">
        <v>140.29355360935739</v>
      </c>
      <c r="N46" s="12">
        <v>174.33480814079493</v>
      </c>
      <c r="O46" s="12">
        <v>147.78768582609482</v>
      </c>
    </row>
    <row r="47" spans="1:15" ht="15" customHeight="1" x14ac:dyDescent="0.2">
      <c r="A47" s="10">
        <v>43983</v>
      </c>
      <c r="B47" s="12">
        <v>152.08992092169174</v>
      </c>
      <c r="C47" s="12">
        <v>252.20632012166854</v>
      </c>
      <c r="D47" s="12">
        <v>198.68157671320353</v>
      </c>
      <c r="E47" s="12">
        <v>71.685662349532535</v>
      </c>
      <c r="F47" s="12">
        <v>191.67127674504235</v>
      </c>
      <c r="G47" s="12">
        <v>182.34155533665285</v>
      </c>
      <c r="H47" s="12">
        <v>238.8872175800179</v>
      </c>
      <c r="I47" s="12">
        <v>206.92553837862542</v>
      </c>
      <c r="J47" s="12">
        <v>138.49649111423889</v>
      </c>
      <c r="K47" s="12">
        <v>216.062437372857</v>
      </c>
      <c r="L47" s="12">
        <v>54.074816224538061</v>
      </c>
      <c r="M47" s="12">
        <v>187.20542472997786</v>
      </c>
      <c r="N47" s="12">
        <v>172.57559398544043</v>
      </c>
      <c r="O47" s="12">
        <v>155.35609520226885</v>
      </c>
    </row>
    <row r="48" spans="1:15" ht="15" customHeight="1" x14ac:dyDescent="0.2">
      <c r="A48" s="10">
        <v>44013</v>
      </c>
      <c r="B48" s="12">
        <v>194.15252507627559</v>
      </c>
      <c r="C48" s="12">
        <v>273.03680621282177</v>
      </c>
      <c r="D48" s="12">
        <v>230.86328678409035</v>
      </c>
      <c r="E48" s="12">
        <v>129.9310253361123</v>
      </c>
      <c r="F48" s="12">
        <v>214.95544006275671</v>
      </c>
      <c r="G48" s="12">
        <v>74.477472055669153</v>
      </c>
      <c r="H48" s="12">
        <v>281.08126895989886</v>
      </c>
      <c r="I48" s="12">
        <v>198.86254204187864</v>
      </c>
      <c r="J48" s="12">
        <v>179.95201478238687</v>
      </c>
      <c r="K48" s="12">
        <v>231.53662240970831</v>
      </c>
      <c r="L48" s="12">
        <v>58.881576092752816</v>
      </c>
      <c r="M48" s="12">
        <v>226.05606057608375</v>
      </c>
      <c r="N48" s="12">
        <v>192.67145529312054</v>
      </c>
      <c r="O48" s="12">
        <v>190.31569581497746</v>
      </c>
    </row>
    <row r="49" spans="1:15" ht="15" customHeight="1" x14ac:dyDescent="0.2">
      <c r="A49" s="10">
        <v>44044</v>
      </c>
      <c r="B49" s="12">
        <v>157.45004895101729</v>
      </c>
      <c r="C49" s="12">
        <v>208.72240098449527</v>
      </c>
      <c r="D49" s="12">
        <v>181.31091287195602</v>
      </c>
      <c r="E49" s="12">
        <v>159.72997547989459</v>
      </c>
      <c r="F49" s="12">
        <v>210.88355890015978</v>
      </c>
      <c r="G49" s="12">
        <v>67.262790684793316</v>
      </c>
      <c r="H49" s="12">
        <v>246.45523225637291</v>
      </c>
      <c r="I49" s="12">
        <v>340.39153361731263</v>
      </c>
      <c r="J49" s="12">
        <v>192.9352443884639</v>
      </c>
      <c r="K49" s="12">
        <v>260.5680988925443</v>
      </c>
      <c r="L49" s="12">
        <v>30.234768968408961</v>
      </c>
      <c r="M49" s="12">
        <v>195.88310069007608</v>
      </c>
      <c r="N49" s="12">
        <v>191.57944837234808</v>
      </c>
      <c r="O49" s="12">
        <v>188.66379341108737</v>
      </c>
    </row>
    <row r="50" spans="1:15" ht="15" customHeight="1" x14ac:dyDescent="0.2">
      <c r="A50" s="10">
        <v>44075</v>
      </c>
      <c r="B50" s="12">
        <v>185.92389378707404</v>
      </c>
      <c r="C50" s="12">
        <v>240.97651965829695</v>
      </c>
      <c r="D50" s="12">
        <v>211.54400213603159</v>
      </c>
      <c r="E50" s="12">
        <v>138.18078823350703</v>
      </c>
      <c r="F50" s="12">
        <v>226.15890693569841</v>
      </c>
      <c r="G50" s="12">
        <v>120.43267648096634</v>
      </c>
      <c r="H50" s="12">
        <v>301.21087304158942</v>
      </c>
      <c r="I50" s="12">
        <v>449.2542938280464</v>
      </c>
      <c r="J50" s="12">
        <v>215.53228717378551</v>
      </c>
      <c r="K50" s="12">
        <v>377.56952037724477</v>
      </c>
      <c r="L50" s="12">
        <v>77.024581756641453</v>
      </c>
      <c r="M50" s="12">
        <v>223.15044453116855</v>
      </c>
      <c r="N50" s="12">
        <v>266.7226241724257</v>
      </c>
      <c r="O50" s="12">
        <v>223.34006605540009</v>
      </c>
    </row>
    <row r="51" spans="1:15" ht="15" customHeight="1" x14ac:dyDescent="0.2">
      <c r="A51" s="10">
        <v>44105</v>
      </c>
      <c r="B51" s="12">
        <v>181.7775484428775</v>
      </c>
      <c r="C51" s="12">
        <v>218.86338934122503</v>
      </c>
      <c r="D51" s="12">
        <v>199.03636665529859</v>
      </c>
      <c r="E51" s="12">
        <v>143.82509031749237</v>
      </c>
      <c r="F51" s="12">
        <v>235.98221733433908</v>
      </c>
      <c r="G51" s="12">
        <v>183.12625455671883</v>
      </c>
      <c r="H51" s="12">
        <v>270.24954619141062</v>
      </c>
      <c r="I51" s="12">
        <v>177.58454685525055</v>
      </c>
      <c r="J51" s="12">
        <v>198.82200301891581</v>
      </c>
      <c r="K51" s="12">
        <v>267.82708412757171</v>
      </c>
      <c r="L51" s="12">
        <v>75.248780802141823</v>
      </c>
      <c r="M51" s="12">
        <v>208.46775928721624</v>
      </c>
      <c r="N51" s="12">
        <v>208.54287483889664</v>
      </c>
      <c r="O51" s="12">
        <v>198.95710534253996</v>
      </c>
    </row>
    <row r="52" spans="1:15" ht="15" customHeight="1" x14ac:dyDescent="0.2">
      <c r="A52" s="10">
        <v>44136</v>
      </c>
      <c r="B52" s="12">
        <v>184.69712354136186</v>
      </c>
      <c r="C52" s="12">
        <v>222.97175997972849</v>
      </c>
      <c r="D52" s="12">
        <v>202.50917731808264</v>
      </c>
      <c r="E52" s="12">
        <v>115.39853945388541</v>
      </c>
      <c r="F52" s="12">
        <v>234.84303105037856</v>
      </c>
      <c r="G52" s="12">
        <v>547.21204547716343</v>
      </c>
      <c r="H52" s="12">
        <v>299.96358007919213</v>
      </c>
      <c r="I52" s="12">
        <v>210.0167628315435</v>
      </c>
      <c r="J52" s="12">
        <v>199.40685323949751</v>
      </c>
      <c r="K52" s="12">
        <v>293.4728588148447</v>
      </c>
      <c r="L52" s="12">
        <v>100.36903652363169</v>
      </c>
      <c r="M52" s="12">
        <v>187.75574149869311</v>
      </c>
      <c r="N52" s="12">
        <v>220.27344736867605</v>
      </c>
      <c r="O52" s="12">
        <v>202.39498471707216</v>
      </c>
    </row>
    <row r="53" spans="1:15" ht="15" customHeight="1" x14ac:dyDescent="0.2">
      <c r="A53" s="10">
        <v>44166</v>
      </c>
      <c r="B53" s="12">
        <v>237.37180356702621</v>
      </c>
      <c r="C53" s="12">
        <v>292.71100580955363</v>
      </c>
      <c r="D53" s="12">
        <v>263.12527735617635</v>
      </c>
      <c r="E53" s="12">
        <v>153.58502085611204</v>
      </c>
      <c r="F53" s="12">
        <v>257.85685051799072</v>
      </c>
      <c r="G53" s="12">
        <v>251.74618388025888</v>
      </c>
      <c r="H53" s="12">
        <v>313.7367918184159</v>
      </c>
      <c r="I53" s="12">
        <v>313.64114098087759</v>
      </c>
      <c r="J53" s="12">
        <v>213.50302498428658</v>
      </c>
      <c r="K53" s="12">
        <v>313.71256676434388</v>
      </c>
      <c r="L53" s="12">
        <v>55.705909183617997</v>
      </c>
      <c r="M53" s="12">
        <v>253.200586471858</v>
      </c>
      <c r="N53" s="12">
        <v>240.00499119734025</v>
      </c>
      <c r="O53" s="12">
        <v>226.19687238891112</v>
      </c>
    </row>
    <row r="54" spans="1:15" ht="15" customHeight="1" x14ac:dyDescent="0.2">
      <c r="A54" s="11">
        <v>44197</v>
      </c>
      <c r="B54" s="120">
        <v>280.93372198625224</v>
      </c>
      <c r="C54" s="120">
        <v>284.01310026487926</v>
      </c>
      <c r="D54" s="120">
        <v>282.36678723786071</v>
      </c>
      <c r="E54" s="120">
        <v>206.00760035726529</v>
      </c>
      <c r="F54" s="120">
        <v>264.27473376738953</v>
      </c>
      <c r="G54" s="120">
        <v>39.751888307867077</v>
      </c>
      <c r="H54" s="120">
        <v>342.55515408397912</v>
      </c>
      <c r="I54" s="120">
        <v>52.26084125188639</v>
      </c>
      <c r="J54" s="120">
        <v>229.83147466929282</v>
      </c>
      <c r="K54" s="120">
        <v>327.48865749949721</v>
      </c>
      <c r="L54" s="120">
        <v>87.160573037823482</v>
      </c>
      <c r="M54" s="120">
        <v>215.83052557890304</v>
      </c>
      <c r="N54" s="120">
        <v>242.23145349851342</v>
      </c>
      <c r="O54" s="120">
        <v>239.98878739723531</v>
      </c>
    </row>
    <row r="55" spans="1:15" ht="15" customHeight="1" x14ac:dyDescent="0.2">
      <c r="A55" s="11">
        <v>44228</v>
      </c>
      <c r="B55" s="120">
        <v>205.22537553004022</v>
      </c>
      <c r="C55" s="120">
        <v>252.08446998633758</v>
      </c>
      <c r="D55" s="120">
        <v>227.03242030048628</v>
      </c>
      <c r="E55" s="120">
        <v>216.86039283400586</v>
      </c>
      <c r="F55" s="120">
        <v>253.63391903046573</v>
      </c>
      <c r="G55" s="120">
        <v>120.0498846206377</v>
      </c>
      <c r="H55" s="120">
        <v>306.53628988424583</v>
      </c>
      <c r="I55" s="120">
        <v>430.8726304741881</v>
      </c>
      <c r="J55" s="120">
        <v>242.05481236541715</v>
      </c>
      <c r="K55" s="120">
        <v>298.47170744073622</v>
      </c>
      <c r="L55" s="120">
        <v>71.506523596916637</v>
      </c>
      <c r="M55" s="120">
        <v>223.54948616315437</v>
      </c>
      <c r="N55" s="120">
        <v>227.04095490819114</v>
      </c>
      <c r="O55" s="120">
        <v>234.04861752192488</v>
      </c>
    </row>
    <row r="56" spans="1:15" ht="15" customHeight="1" x14ac:dyDescent="0.2">
      <c r="A56" s="11">
        <v>44256</v>
      </c>
      <c r="B56" s="120">
        <v>299.75436989200415</v>
      </c>
      <c r="C56" s="120">
        <v>344.77640930278437</v>
      </c>
      <c r="D56" s="120">
        <v>320.70649541810315</v>
      </c>
      <c r="E56" s="120">
        <v>238.67630341004582</v>
      </c>
      <c r="F56" s="120">
        <v>290.0005886813683</v>
      </c>
      <c r="G56" s="120">
        <v>141.56203990471479</v>
      </c>
      <c r="H56" s="120">
        <v>438.54513903354058</v>
      </c>
      <c r="I56" s="120">
        <v>244.85391171481891</v>
      </c>
      <c r="J56" s="120">
        <v>293.49751161411882</v>
      </c>
      <c r="K56" s="120">
        <v>429.22786272940908</v>
      </c>
      <c r="L56" s="120">
        <v>122.68048947229774</v>
      </c>
      <c r="M56" s="120">
        <v>271.59852927027612</v>
      </c>
      <c r="N56" s="120">
        <v>315.91773798275062</v>
      </c>
      <c r="O56" s="120">
        <v>300.29767360082371</v>
      </c>
    </row>
    <row r="57" spans="1:15" ht="15" customHeight="1" x14ac:dyDescent="0.2">
      <c r="A57" s="11">
        <v>44287</v>
      </c>
      <c r="B57" s="120">
        <v>195.66114354938998</v>
      </c>
      <c r="C57" s="120">
        <v>282.16011283219018</v>
      </c>
      <c r="D57" s="120">
        <v>235.91558972753128</v>
      </c>
      <c r="E57" s="120">
        <v>284.71014217192715</v>
      </c>
      <c r="F57" s="120">
        <v>264.57003338357714</v>
      </c>
      <c r="G57" s="120">
        <v>412.20526180149176</v>
      </c>
      <c r="H57" s="120">
        <v>362.86665153750835</v>
      </c>
      <c r="I57" s="120">
        <v>211.08325440639265</v>
      </c>
      <c r="J57" s="120">
        <v>279.86545721399619</v>
      </c>
      <c r="K57" s="120">
        <v>357.0897531214294</v>
      </c>
      <c r="L57" s="120">
        <v>94.874896033133624</v>
      </c>
      <c r="M57" s="120">
        <v>250.22847840460761</v>
      </c>
      <c r="N57" s="120">
        <v>268.48841712737266</v>
      </c>
      <c r="O57" s="120">
        <v>266.75192225056747</v>
      </c>
    </row>
    <row r="58" spans="1:15" ht="15" customHeight="1" x14ac:dyDescent="0.2">
      <c r="A58" s="11">
        <v>44317</v>
      </c>
      <c r="B58" s="120">
        <v>193.80295695545163</v>
      </c>
      <c r="C58" s="120">
        <v>243.92210836489352</v>
      </c>
      <c r="D58" s="120">
        <v>217.12715029132141</v>
      </c>
      <c r="E58" s="120">
        <v>230.25741085641732</v>
      </c>
      <c r="F58" s="120">
        <v>276.0081077663923</v>
      </c>
      <c r="G58" s="120">
        <v>114.74285915103761</v>
      </c>
      <c r="H58" s="120">
        <v>411.19482073111129</v>
      </c>
      <c r="I58" s="120">
        <v>165.86129397745643</v>
      </c>
      <c r="J58" s="120">
        <v>275.13724285525541</v>
      </c>
      <c r="K58" s="120">
        <v>290.22110988541476</v>
      </c>
      <c r="L58" s="120">
        <v>83.256085066570279</v>
      </c>
      <c r="M58" s="120">
        <v>260.70649374981531</v>
      </c>
      <c r="N58" s="120">
        <v>236.91465314759338</v>
      </c>
      <c r="O58" s="120">
        <v>253.94585740268235</v>
      </c>
    </row>
    <row r="59" spans="1:15" ht="15" customHeight="1" x14ac:dyDescent="0.2">
      <c r="A59" s="11">
        <v>44348</v>
      </c>
      <c r="B59" s="120">
        <v>264.56480031890754</v>
      </c>
      <c r="C59" s="120">
        <v>399.97324219949547</v>
      </c>
      <c r="D59" s="120">
        <v>327.58048571889486</v>
      </c>
      <c r="E59" s="120">
        <v>46.230926080699462</v>
      </c>
      <c r="F59" s="120">
        <v>324.43459713098241</v>
      </c>
      <c r="G59" s="120">
        <v>19.557034069697927</v>
      </c>
      <c r="H59" s="120">
        <v>415.60960655946934</v>
      </c>
      <c r="I59" s="120">
        <v>348.24353581988964</v>
      </c>
      <c r="J59" s="120">
        <v>221.06253913668266</v>
      </c>
      <c r="K59" s="120">
        <v>428.57555314544766</v>
      </c>
      <c r="L59" s="120">
        <v>166.92696909521163</v>
      </c>
      <c r="M59" s="120">
        <v>306.31839020399093</v>
      </c>
      <c r="N59" s="120">
        <v>335.78297273606557</v>
      </c>
      <c r="O59" s="120">
        <v>262.4301723965292</v>
      </c>
    </row>
    <row r="60" spans="1:15" ht="15" customHeight="1" x14ac:dyDescent="0.2">
      <c r="A60" s="11">
        <v>44378</v>
      </c>
      <c r="B60" s="120">
        <v>189.17501453424069</v>
      </c>
      <c r="C60" s="120">
        <v>414.34405204927577</v>
      </c>
      <c r="D60" s="120">
        <v>293.96302503640976</v>
      </c>
      <c r="E60" s="120">
        <v>178.71790213155825</v>
      </c>
      <c r="F60" s="120">
        <v>294.7678849189939</v>
      </c>
      <c r="G60" s="120">
        <v>49.239119237052314</v>
      </c>
      <c r="H60" s="120">
        <v>347.25480360235076</v>
      </c>
      <c r="I60" s="120">
        <v>210.43359506447371</v>
      </c>
      <c r="J60" s="120">
        <v>259.02647754407855</v>
      </c>
      <c r="K60" s="120">
        <v>368.1341594522861</v>
      </c>
      <c r="L60" s="120">
        <v>160.74135606986707</v>
      </c>
      <c r="M60" s="120">
        <v>270.69170382298063</v>
      </c>
      <c r="N60" s="120">
        <v>295.20700637457463</v>
      </c>
      <c r="O60" s="120">
        <v>270.69835838353288</v>
      </c>
    </row>
    <row r="61" spans="1:15" ht="15" customHeight="1" x14ac:dyDescent="0.2">
      <c r="A61" s="11">
        <v>44409</v>
      </c>
      <c r="B61" s="120">
        <v>191.66081295105027</v>
      </c>
      <c r="C61" s="120">
        <v>379.02811046570059</v>
      </c>
      <c r="D61" s="120">
        <v>278.85684379262284</v>
      </c>
      <c r="E61" s="120">
        <v>246.79901252479777</v>
      </c>
      <c r="F61" s="120">
        <v>283.86888906981238</v>
      </c>
      <c r="G61" s="120">
        <v>8.2630600177079838</v>
      </c>
      <c r="H61" s="120">
        <v>327.65723136528669</v>
      </c>
      <c r="I61" s="120">
        <v>440.76316056875925</v>
      </c>
      <c r="J61" s="120">
        <v>267.02886996100972</v>
      </c>
      <c r="K61" s="120">
        <v>356.39970163561463</v>
      </c>
      <c r="L61" s="120">
        <v>106.39778310842803</v>
      </c>
      <c r="M61" s="120">
        <v>252.53432318473037</v>
      </c>
      <c r="N61" s="120">
        <v>271.63191558412308</v>
      </c>
      <c r="O61" s="120">
        <v>267.68231750892039</v>
      </c>
    </row>
    <row r="62" spans="1:15" ht="15" customHeight="1" x14ac:dyDescent="0.2">
      <c r="A62" s="11">
        <v>44440</v>
      </c>
      <c r="B62" s="120">
        <v>177.86408730660452</v>
      </c>
      <c r="C62" s="120">
        <v>374.13950595707746</v>
      </c>
      <c r="D62" s="120">
        <v>269.20573382179225</v>
      </c>
      <c r="E62" s="120">
        <v>141.66867641077044</v>
      </c>
      <c r="F62" s="120">
        <v>310.69888928624761</v>
      </c>
      <c r="G62" s="120">
        <v>3.8068635076959634</v>
      </c>
      <c r="H62" s="120">
        <v>324.09084825293411</v>
      </c>
      <c r="I62" s="120">
        <v>206.11934969528306</v>
      </c>
      <c r="J62" s="120">
        <v>225.98444671832445</v>
      </c>
      <c r="K62" s="120">
        <v>363.58413649834051</v>
      </c>
      <c r="L62" s="120">
        <v>153.82781634713805</v>
      </c>
      <c r="M62" s="120">
        <v>251.87916803127223</v>
      </c>
      <c r="N62" s="120">
        <v>285.15610520543908</v>
      </c>
      <c r="O62" s="120">
        <v>243.98778067747</v>
      </c>
    </row>
    <row r="63" spans="1:15" ht="15" customHeight="1" x14ac:dyDescent="0.2">
      <c r="A63" s="11">
        <v>44470</v>
      </c>
      <c r="B63" s="120">
        <v>157.59470184375829</v>
      </c>
      <c r="C63" s="120">
        <v>251.97909738182591</v>
      </c>
      <c r="D63" s="120">
        <v>201.51882720323852</v>
      </c>
      <c r="E63" s="120">
        <v>270.20561536453329</v>
      </c>
      <c r="F63" s="120">
        <v>313.60485628860226</v>
      </c>
      <c r="G63" s="120">
        <v>138.31090932355929</v>
      </c>
      <c r="H63" s="120">
        <v>320.21937871307767</v>
      </c>
      <c r="I63" s="120">
        <v>563.10394585448989</v>
      </c>
      <c r="J63" s="120">
        <v>300.33866864888734</v>
      </c>
      <c r="K63" s="120">
        <v>327.89793615942085</v>
      </c>
      <c r="L63" s="120">
        <v>63.912508520047439</v>
      </c>
      <c r="M63" s="120">
        <v>269.31345830175326</v>
      </c>
      <c r="N63" s="120">
        <v>253.5369950722509</v>
      </c>
      <c r="O63" s="120">
        <v>269.68579054843775</v>
      </c>
    </row>
    <row r="64" spans="1:15" ht="15" customHeight="1" x14ac:dyDescent="0.2">
      <c r="A64" s="11">
        <v>44501</v>
      </c>
      <c r="B64" s="120">
        <v>220.09785071021474</v>
      </c>
      <c r="C64" s="120">
        <v>316.13044680852647</v>
      </c>
      <c r="D64" s="120">
        <v>264.78900718339776</v>
      </c>
      <c r="E64" s="120">
        <v>224.44018164197502</v>
      </c>
      <c r="F64" s="120">
        <v>352.10620192441729</v>
      </c>
      <c r="G64" s="120">
        <v>12.308147597141561</v>
      </c>
      <c r="H64" s="120">
        <v>351.64242997562877</v>
      </c>
      <c r="I64" s="120">
        <v>214.90401892155376</v>
      </c>
      <c r="J64" s="120">
        <v>270.76822285486969</v>
      </c>
      <c r="K64" s="120">
        <v>395.49458317217812</v>
      </c>
      <c r="L64" s="120">
        <v>236.16309326174496</v>
      </c>
      <c r="M64" s="120">
        <v>314.59200809893821</v>
      </c>
      <c r="N64" s="120">
        <v>337.25225195352789</v>
      </c>
      <c r="O64" s="120">
        <v>281.95708235577843</v>
      </c>
    </row>
    <row r="65" spans="1:15" ht="15" customHeight="1" x14ac:dyDescent="0.2">
      <c r="A65" s="11">
        <v>44531</v>
      </c>
      <c r="B65" s="120">
        <v>276.66792903567284</v>
      </c>
      <c r="C65" s="120">
        <v>460.47895512906001</v>
      </c>
      <c r="D65" s="120">
        <v>362.20896054362254</v>
      </c>
      <c r="E65" s="120">
        <v>311.0413687878717</v>
      </c>
      <c r="F65" s="120">
        <v>352.0305237742337</v>
      </c>
      <c r="G65" s="120">
        <v>328.31889571895135</v>
      </c>
      <c r="H65" s="120">
        <v>410.61184619554859</v>
      </c>
      <c r="I65" s="120">
        <v>243.5205383648146</v>
      </c>
      <c r="J65" s="120">
        <v>363.37870395048077</v>
      </c>
      <c r="K65" s="120">
        <v>491.82453940358988</v>
      </c>
      <c r="L65" s="120">
        <v>75.040271367701294</v>
      </c>
      <c r="M65" s="120">
        <v>322.73924329347545</v>
      </c>
      <c r="N65" s="120">
        <v>351.4198277026756</v>
      </c>
      <c r="O65" s="120">
        <v>357.25527531698111</v>
      </c>
    </row>
    <row r="66" spans="1:15" ht="15" customHeight="1" x14ac:dyDescent="0.2">
      <c r="A66" s="10">
        <v>44562</v>
      </c>
      <c r="B66" s="12">
        <v>302.60442547822805</v>
      </c>
      <c r="C66" s="12">
        <v>320.93300740504202</v>
      </c>
      <c r="D66" s="12">
        <v>311.13408682346784</v>
      </c>
      <c r="E66" s="12">
        <v>302.58057251465658</v>
      </c>
      <c r="F66" s="12">
        <v>374.14129294866382</v>
      </c>
      <c r="G66" s="12">
        <v>22.173404249047525</v>
      </c>
      <c r="H66" s="12">
        <v>357.30274723496524</v>
      </c>
      <c r="I66" s="12">
        <v>335.80850305055731</v>
      </c>
      <c r="J66" s="12">
        <v>322.11486781119078</v>
      </c>
      <c r="K66" s="12">
        <v>389.735768437209</v>
      </c>
      <c r="L66" s="12">
        <v>67.489157495947651</v>
      </c>
      <c r="M66" s="12">
        <v>322.71888216195782</v>
      </c>
      <c r="N66" s="12">
        <v>300.15094361107987</v>
      </c>
      <c r="O66" s="12">
        <v>312.46533830884238</v>
      </c>
    </row>
    <row r="67" spans="1:15" ht="15" customHeight="1" x14ac:dyDescent="0.2">
      <c r="A67" s="10">
        <v>44593</v>
      </c>
      <c r="B67" s="12">
        <v>261.23732665232063</v>
      </c>
      <c r="C67" s="12">
        <v>255.38790154194442</v>
      </c>
      <c r="D67" s="12">
        <v>258.515151229526</v>
      </c>
      <c r="E67" s="12">
        <v>325.41172629283938</v>
      </c>
      <c r="F67" s="12">
        <v>382.44011470777343</v>
      </c>
      <c r="G67" s="12">
        <v>37.234799258266371</v>
      </c>
      <c r="H67" s="12">
        <v>380.28251462288489</v>
      </c>
      <c r="I67" s="12">
        <v>127.68844698639981</v>
      </c>
      <c r="J67" s="12">
        <v>324.4987599875854</v>
      </c>
      <c r="K67" s="12">
        <v>359.03624567693606</v>
      </c>
      <c r="L67" s="12">
        <v>47.424861367609509</v>
      </c>
      <c r="M67" s="12">
        <v>300.85633100709828</v>
      </c>
      <c r="N67" s="12">
        <v>274.80968821129699</v>
      </c>
      <c r="O67" s="12">
        <v>299.0840578796541</v>
      </c>
    </row>
    <row r="68" spans="1:15" ht="15" customHeight="1" x14ac:dyDescent="0.2">
      <c r="A68" s="10">
        <v>44621</v>
      </c>
      <c r="B68" s="12">
        <v>336.3835613009785</v>
      </c>
      <c r="C68" s="12">
        <v>278.46055628559213</v>
      </c>
      <c r="D68" s="12">
        <v>309.42765064446024</v>
      </c>
      <c r="E68" s="12">
        <v>464.14419117950666</v>
      </c>
      <c r="F68" s="12">
        <v>361.4393650901971</v>
      </c>
      <c r="G68" s="12">
        <v>168.45123714645712</v>
      </c>
      <c r="H68" s="12">
        <v>455.51926580859714</v>
      </c>
      <c r="I68" s="12">
        <v>247.78673435451211</v>
      </c>
      <c r="J68" s="12">
        <v>397.28930687555243</v>
      </c>
      <c r="K68" s="12">
        <v>461.15153314971963</v>
      </c>
      <c r="L68" s="12">
        <v>131.06200014015985</v>
      </c>
      <c r="M68" s="12">
        <v>338.03487540497787</v>
      </c>
      <c r="N68" s="12">
        <v>353.28602436431055</v>
      </c>
      <c r="O68" s="12">
        <v>368.30656905313936</v>
      </c>
    </row>
    <row r="69" spans="1:15" ht="15" customHeight="1" x14ac:dyDescent="0.2">
      <c r="A69" s="10">
        <v>44652</v>
      </c>
      <c r="B69" s="12">
        <v>379.41575820353785</v>
      </c>
      <c r="C69" s="12">
        <v>258.31217904224837</v>
      </c>
      <c r="D69" s="12">
        <v>323.05719636460782</v>
      </c>
      <c r="E69" s="12">
        <v>568.7533805410377</v>
      </c>
      <c r="F69" s="12">
        <v>527.04787041540442</v>
      </c>
      <c r="G69" s="12">
        <v>289.15329089967315</v>
      </c>
      <c r="H69" s="12">
        <v>624.29132802757817</v>
      </c>
      <c r="I69" s="12">
        <v>267.82993667704619</v>
      </c>
      <c r="J69" s="12">
        <v>504.03847197441422</v>
      </c>
      <c r="K69" s="12">
        <v>455.26801122517145</v>
      </c>
      <c r="L69" s="12">
        <v>61.458315641121956</v>
      </c>
      <c r="M69" s="12">
        <v>311.97691987816336</v>
      </c>
      <c r="N69" s="12">
        <v>327.7627446672584</v>
      </c>
      <c r="O69" s="12">
        <v>429.59271831763726</v>
      </c>
    </row>
    <row r="70" spans="1:15" ht="15" customHeight="1" x14ac:dyDescent="0.2">
      <c r="A70" s="10">
        <v>44682</v>
      </c>
      <c r="B70" s="12">
        <v>308.97711675255306</v>
      </c>
      <c r="C70" s="12">
        <v>230.93764529744118</v>
      </c>
      <c r="D70" s="12">
        <v>272.65950823643573</v>
      </c>
      <c r="E70" s="12">
        <v>578.07388578099494</v>
      </c>
      <c r="F70" s="12">
        <v>511.65215612782299</v>
      </c>
      <c r="G70" s="12">
        <v>38.080282198697951</v>
      </c>
      <c r="H70" s="12">
        <v>555.04154618921507</v>
      </c>
      <c r="I70" s="12">
        <v>306.92465420797214</v>
      </c>
      <c r="J70" s="12">
        <v>490.40786671653433</v>
      </c>
      <c r="K70" s="12">
        <v>427.4499913394659</v>
      </c>
      <c r="L70" s="12">
        <v>104.97543647965288</v>
      </c>
      <c r="M70" s="12">
        <v>331.90949948257776</v>
      </c>
      <c r="N70" s="12">
        <v>329.31335366308508</v>
      </c>
      <c r="O70" s="12">
        <v>412.39213246666304</v>
      </c>
    </row>
    <row r="71" spans="1:15" ht="15" customHeight="1" x14ac:dyDescent="0.2">
      <c r="A71" s="10">
        <v>44713</v>
      </c>
      <c r="B71" s="12">
        <v>257.29730762723585</v>
      </c>
      <c r="C71" s="12">
        <v>290.43904142766576</v>
      </c>
      <c r="D71" s="12">
        <v>272.72063753025441</v>
      </c>
      <c r="E71" s="12">
        <v>251.5892843325922</v>
      </c>
      <c r="F71" s="12">
        <v>593.73261275098366</v>
      </c>
      <c r="G71" s="12">
        <v>24.461562930116944</v>
      </c>
      <c r="H71" s="12">
        <v>569.43299446555693</v>
      </c>
      <c r="I71" s="12">
        <v>175.94849563235934</v>
      </c>
      <c r="J71" s="12">
        <v>387.49136460864082</v>
      </c>
      <c r="K71" s="12">
        <v>446.98534004468621</v>
      </c>
      <c r="L71" s="12">
        <v>55.045507480422309</v>
      </c>
      <c r="M71" s="12">
        <v>320.32799889661436</v>
      </c>
      <c r="N71" s="12">
        <v>324.82938364981817</v>
      </c>
      <c r="O71" s="12">
        <v>349.73372195234924</v>
      </c>
    </row>
    <row r="72" spans="1:15" ht="15" customHeight="1" x14ac:dyDescent="0.2">
      <c r="A72" s="10">
        <v>44743</v>
      </c>
      <c r="B72" s="12">
        <v>317.57622328482233</v>
      </c>
      <c r="C72" s="12">
        <v>248.10520326841285</v>
      </c>
      <c r="D72" s="12">
        <v>285.24615670277808</v>
      </c>
      <c r="E72" s="12">
        <v>435.01915083592894</v>
      </c>
      <c r="F72" s="12">
        <v>466.41585171921065</v>
      </c>
      <c r="G72" s="12">
        <v>515.03790064113582</v>
      </c>
      <c r="H72" s="12">
        <v>544.78168762640178</v>
      </c>
      <c r="I72" s="12">
        <v>58.58039255422112</v>
      </c>
      <c r="J72" s="12">
        <v>423.06910382240591</v>
      </c>
      <c r="K72" s="12">
        <v>415.26789983077049</v>
      </c>
      <c r="L72" s="12">
        <v>46.069874058176332</v>
      </c>
      <c r="M72" s="12">
        <v>284.79261406366561</v>
      </c>
      <c r="N72" s="12">
        <v>296.80233227627053</v>
      </c>
      <c r="O72" s="12">
        <v>367.58936754887179</v>
      </c>
    </row>
    <row r="73" spans="1:15" ht="15" customHeight="1" x14ac:dyDescent="0.2">
      <c r="A73" s="10">
        <v>44774</v>
      </c>
      <c r="B73" s="12">
        <v>404.53555262183096</v>
      </c>
      <c r="C73" s="12">
        <v>304.61238844970393</v>
      </c>
      <c r="D73" s="12">
        <v>358.03382355537508</v>
      </c>
      <c r="E73" s="12">
        <v>489.60026922335857</v>
      </c>
      <c r="F73" s="12">
        <v>571.28619558922765</v>
      </c>
      <c r="G73" s="12">
        <v>317.88695754559126</v>
      </c>
      <c r="H73" s="12">
        <v>683.27392412522568</v>
      </c>
      <c r="I73" s="12">
        <v>431.68743026450392</v>
      </c>
      <c r="J73" s="12">
        <v>493.41351433122156</v>
      </c>
      <c r="K73" s="12">
        <v>389.94757297406875</v>
      </c>
      <c r="L73" s="12">
        <v>39.017384996362289</v>
      </c>
      <c r="M73" s="12">
        <v>327.60444767898701</v>
      </c>
      <c r="N73" s="12">
        <v>295.67265856464309</v>
      </c>
      <c r="O73" s="12">
        <v>424.58969589808959</v>
      </c>
    </row>
    <row r="74" spans="1:15" ht="15" customHeight="1" x14ac:dyDescent="0.2">
      <c r="A74" s="10">
        <v>44805</v>
      </c>
      <c r="B74" s="12">
        <v>353.30147492200018</v>
      </c>
      <c r="C74" s="12">
        <v>265.75841793202341</v>
      </c>
      <c r="D74" s="12">
        <v>312.56113656777535</v>
      </c>
      <c r="E74" s="12">
        <v>476.12295192594809</v>
      </c>
      <c r="F74" s="12">
        <v>492.14757172956138</v>
      </c>
      <c r="G74" s="12">
        <v>100.63271892608186</v>
      </c>
      <c r="H74" s="12">
        <v>548.38470640373475</v>
      </c>
      <c r="I74" s="12">
        <v>264.39515503600359</v>
      </c>
      <c r="J74" s="12">
        <v>436.47469227909738</v>
      </c>
      <c r="K74" s="12">
        <v>311.36569003211815</v>
      </c>
      <c r="L74" s="12">
        <v>21.566225777661973</v>
      </c>
      <c r="M74" s="12">
        <v>271.00519733890616</v>
      </c>
      <c r="N74" s="12">
        <v>236.69188801920029</v>
      </c>
      <c r="O74" s="12">
        <v>368.4160820237808</v>
      </c>
    </row>
    <row r="75" spans="1:15" ht="15" customHeight="1" x14ac:dyDescent="0.2">
      <c r="A75" s="10">
        <v>44835</v>
      </c>
      <c r="B75" s="12">
        <v>347.3954004527389</v>
      </c>
      <c r="C75" s="12">
        <v>277.27079350773334</v>
      </c>
      <c r="D75" s="12">
        <v>314.76117094184059</v>
      </c>
      <c r="E75" s="12">
        <v>502.60972087848739</v>
      </c>
      <c r="F75" s="12">
        <v>491.38995269960191</v>
      </c>
      <c r="G75" s="12">
        <v>298.79254288276059</v>
      </c>
      <c r="H75" s="12">
        <v>533.86794533088721</v>
      </c>
      <c r="I75" s="12">
        <v>384.45288295181638</v>
      </c>
      <c r="J75" s="12">
        <v>452.63466961810508</v>
      </c>
      <c r="K75" s="12">
        <v>366.82620157885117</v>
      </c>
      <c r="L75" s="12">
        <v>36.960634234524569</v>
      </c>
      <c r="M75" s="12">
        <v>258.75386297582645</v>
      </c>
      <c r="N75" s="12">
        <v>263.27285653407455</v>
      </c>
      <c r="O75" s="12">
        <v>383.94153729588044</v>
      </c>
    </row>
    <row r="76" spans="1:15" ht="15" customHeight="1" x14ac:dyDescent="0.2">
      <c r="A76" s="10">
        <v>44866</v>
      </c>
      <c r="B76" s="12">
        <v>381.92222357839296</v>
      </c>
      <c r="C76" s="12">
        <v>307.08255888198607</v>
      </c>
      <c r="D76" s="12">
        <v>347.09372470157808</v>
      </c>
      <c r="E76" s="12">
        <v>535.71697175432485</v>
      </c>
      <c r="F76" s="12">
        <v>482.88954747581437</v>
      </c>
      <c r="G76" s="12">
        <v>594.58786234988463</v>
      </c>
      <c r="H76" s="12">
        <v>540.47577605005415</v>
      </c>
      <c r="I76" s="12">
        <v>760.05888019685278</v>
      </c>
      <c r="J76" s="12">
        <v>485.12128407341794</v>
      </c>
      <c r="K76" s="12">
        <v>406.78778660971028</v>
      </c>
      <c r="L76" s="12">
        <v>41.348632253504682</v>
      </c>
      <c r="M76" s="12">
        <v>289.65134509386621</v>
      </c>
      <c r="N76" s="12">
        <v>292.97576810229634</v>
      </c>
      <c r="O76" s="12">
        <v>415.52580108078149</v>
      </c>
    </row>
    <row r="77" spans="1:15" ht="15" customHeight="1" x14ac:dyDescent="0.2">
      <c r="A77" s="10">
        <v>44896</v>
      </c>
      <c r="B77" s="12">
        <v>378.52728389410169</v>
      </c>
      <c r="C77" s="12">
        <v>373.557941421039</v>
      </c>
      <c r="D77" s="12">
        <v>376.21467681009528</v>
      </c>
      <c r="E77" s="12">
        <v>486.17043875410553</v>
      </c>
      <c r="F77" s="12">
        <v>427.95623585555512</v>
      </c>
      <c r="G77" s="12">
        <v>1857.9141400672588</v>
      </c>
      <c r="H77" s="12">
        <v>482.5300802674841</v>
      </c>
      <c r="I77" s="12">
        <v>520.25393154232449</v>
      </c>
      <c r="J77" s="12">
        <v>471.14499478795727</v>
      </c>
      <c r="K77" s="12">
        <v>374.54408532401084</v>
      </c>
      <c r="L77" s="12">
        <v>49.272989611937419</v>
      </c>
      <c r="M77" s="12">
        <v>292.49626521143068</v>
      </c>
      <c r="N77" s="12">
        <v>279.78101253973108</v>
      </c>
      <c r="O77" s="12">
        <v>409.80208055996439</v>
      </c>
    </row>
    <row r="78" spans="1:15" ht="15" customHeight="1" x14ac:dyDescent="0.2">
      <c r="A78" s="11">
        <v>44927</v>
      </c>
      <c r="B78" s="120">
        <v>344.10729489241072</v>
      </c>
      <c r="C78" s="120">
        <v>334.58889850403227</v>
      </c>
      <c r="D78" s="120">
        <v>339.67767245534446</v>
      </c>
      <c r="E78" s="120">
        <v>653.36006626373683</v>
      </c>
      <c r="F78" s="120">
        <v>462.39069090704697</v>
      </c>
      <c r="G78" s="120">
        <v>153.82805557008859</v>
      </c>
      <c r="H78" s="120">
        <v>447.70629765447848</v>
      </c>
      <c r="I78" s="120">
        <v>80.600487791783877</v>
      </c>
      <c r="J78" s="120">
        <v>480.72658824940692</v>
      </c>
      <c r="K78" s="120">
        <v>381.39233247518473</v>
      </c>
      <c r="L78" s="120">
        <v>17.722458255739422</v>
      </c>
      <c r="M78" s="120">
        <v>295.60848010407261</v>
      </c>
      <c r="N78" s="120">
        <v>277.64274474776789</v>
      </c>
      <c r="O78" s="120">
        <v>408.32065757433196</v>
      </c>
    </row>
    <row r="79" spans="1:15" ht="15" customHeight="1" x14ac:dyDescent="0.2">
      <c r="A79" s="11">
        <v>44958</v>
      </c>
      <c r="B79" s="120">
        <v>333.33154693571169</v>
      </c>
      <c r="C79" s="120">
        <v>291.82942436542106</v>
      </c>
      <c r="D79" s="120">
        <v>314.01750223510527</v>
      </c>
      <c r="E79" s="120">
        <v>258.07782479427965</v>
      </c>
      <c r="F79" s="120">
        <v>352.42452915805472</v>
      </c>
      <c r="G79" s="120">
        <v>92.97326407701118</v>
      </c>
      <c r="H79" s="120">
        <v>400.28421367126435</v>
      </c>
      <c r="I79" s="120">
        <v>492.45976047877213</v>
      </c>
      <c r="J79" s="120">
        <v>304.38868365043857</v>
      </c>
      <c r="K79" s="120">
        <v>365.3376674998874</v>
      </c>
      <c r="L79" s="120">
        <v>29.524566989759411</v>
      </c>
      <c r="M79" s="120">
        <v>228.38098981442178</v>
      </c>
      <c r="N79" s="120">
        <v>252.19594808977789</v>
      </c>
      <c r="O79" s="120">
        <v>292.5554547066294</v>
      </c>
    </row>
    <row r="80" spans="1:15" ht="15" customHeight="1" x14ac:dyDescent="0.2">
      <c r="A80" s="11">
        <v>44986</v>
      </c>
      <c r="B80" s="120">
        <v>383.77032460784471</v>
      </c>
      <c r="C80" s="120">
        <v>366.77334693008316</v>
      </c>
      <c r="D80" s="120">
        <v>375.86035841063392</v>
      </c>
      <c r="E80" s="120">
        <v>449.68612743699953</v>
      </c>
      <c r="F80" s="120">
        <v>427.5590202699334</v>
      </c>
      <c r="G80" s="120">
        <v>358.45743422968383</v>
      </c>
      <c r="H80" s="120">
        <v>513.88615432886741</v>
      </c>
      <c r="I80" s="120">
        <v>548.19330038584428</v>
      </c>
      <c r="J80" s="120">
        <v>422.20862281504873</v>
      </c>
      <c r="K80" s="120">
        <v>375.71749856294065</v>
      </c>
      <c r="L80" s="120">
        <v>75.058500240243333</v>
      </c>
      <c r="M80" s="120">
        <v>226.80777736638902</v>
      </c>
      <c r="N80" s="120">
        <v>266.4242683353051</v>
      </c>
      <c r="O80" s="120">
        <v>378.03446544775409</v>
      </c>
    </row>
    <row r="81" spans="1:15" ht="15" customHeight="1" x14ac:dyDescent="0.2">
      <c r="A81" s="11">
        <v>45017</v>
      </c>
      <c r="B81" s="120">
        <v>313.87396180954551</v>
      </c>
      <c r="C81" s="120">
        <v>415.93452316888045</v>
      </c>
      <c r="D81" s="120">
        <v>361.37038180408024</v>
      </c>
      <c r="E81" s="120">
        <v>587.03828751370622</v>
      </c>
      <c r="F81" s="120">
        <v>344.34335849904812</v>
      </c>
      <c r="G81" s="120">
        <v>142.84796636730502</v>
      </c>
      <c r="H81" s="120">
        <v>391.48853880322866</v>
      </c>
      <c r="I81" s="120">
        <v>424.83289874105571</v>
      </c>
      <c r="J81" s="120">
        <v>417.5966467215469</v>
      </c>
      <c r="K81" s="120">
        <v>314.4786269830575</v>
      </c>
      <c r="L81" s="120">
        <v>38.97347757942191</v>
      </c>
      <c r="M81" s="120">
        <v>207.52457503262096</v>
      </c>
      <c r="N81" s="120">
        <v>223.21341386728375</v>
      </c>
      <c r="O81" s="120">
        <v>364.13431807242353</v>
      </c>
    </row>
    <row r="82" spans="1:15" ht="15" customHeight="1" x14ac:dyDescent="0.2">
      <c r="A82" s="11">
        <v>45047</v>
      </c>
      <c r="B82" s="120">
        <v>494.34654521868015</v>
      </c>
      <c r="C82" s="120">
        <v>269.43777393100248</v>
      </c>
      <c r="D82" s="120">
        <v>389.67965607700842</v>
      </c>
      <c r="E82" s="120">
        <v>465.24003174657355</v>
      </c>
      <c r="F82" s="120">
        <v>387.07007870901981</v>
      </c>
      <c r="G82" s="120">
        <v>157.43100545235993</v>
      </c>
      <c r="H82" s="120">
        <v>447.13046103715914</v>
      </c>
      <c r="I82" s="120">
        <v>404.74022722986723</v>
      </c>
      <c r="J82" s="120">
        <v>396.92048243339684</v>
      </c>
      <c r="K82" s="120">
        <v>324.81221873640851</v>
      </c>
      <c r="L82" s="120">
        <v>22.368017053340981</v>
      </c>
      <c r="M82" s="120">
        <v>261.94603138592248</v>
      </c>
      <c r="N82" s="120">
        <v>240.72157098755221</v>
      </c>
      <c r="O82" s="120">
        <v>359.98717312840461</v>
      </c>
    </row>
    <row r="83" spans="1:15" ht="15" customHeight="1" x14ac:dyDescent="0.2">
      <c r="A83" s="11">
        <v>45078</v>
      </c>
      <c r="B83" s="120">
        <v>354.87560076763651</v>
      </c>
      <c r="C83" s="120">
        <v>291.30422050567876</v>
      </c>
      <c r="D83" s="120">
        <v>325.29107824160934</v>
      </c>
      <c r="E83" s="120">
        <v>304.93297148077818</v>
      </c>
      <c r="F83" s="120">
        <v>342.97895317735077</v>
      </c>
      <c r="G83" s="120">
        <v>336.50382170230154</v>
      </c>
      <c r="H83" s="120">
        <v>390.46599654399802</v>
      </c>
      <c r="I83" s="120">
        <v>495.32063467110584</v>
      </c>
      <c r="J83" s="120">
        <v>347.76040633163649</v>
      </c>
      <c r="K83" s="120">
        <v>391.23715911137265</v>
      </c>
      <c r="L83" s="120">
        <v>35.636714496625217</v>
      </c>
      <c r="M83" s="120">
        <v>269.99518327138065</v>
      </c>
      <c r="N83" s="120">
        <v>278.38541028867331</v>
      </c>
      <c r="O83" s="120">
        <v>326.48065365026588</v>
      </c>
    </row>
    <row r="84" spans="1:15" ht="15" customHeight="1" x14ac:dyDescent="0.2">
      <c r="A84" s="11">
        <v>45108</v>
      </c>
      <c r="B84" s="120">
        <v>410.71831849556452</v>
      </c>
      <c r="C84" s="120">
        <v>313.22659905517793</v>
      </c>
      <c r="D84" s="120">
        <v>365.34812269361458</v>
      </c>
      <c r="E84" s="120">
        <v>424.61149258214022</v>
      </c>
      <c r="F84" s="120">
        <v>370.18037875938563</v>
      </c>
      <c r="G84" s="120">
        <v>329.3638179659718</v>
      </c>
      <c r="H84" s="120">
        <v>436.54948631300817</v>
      </c>
      <c r="I84" s="120">
        <v>137.89494676048056</v>
      </c>
      <c r="J84" s="120">
        <v>371.33426405362462</v>
      </c>
      <c r="K84" s="120">
        <v>423.17787872811232</v>
      </c>
      <c r="L84" s="120">
        <v>30.148303608012515</v>
      </c>
      <c r="M84" s="120">
        <v>267.36808150071073</v>
      </c>
      <c r="N84" s="120">
        <v>291.86199076916</v>
      </c>
      <c r="O84" s="120">
        <v>350.68706149021762</v>
      </c>
    </row>
    <row r="85" spans="1:15" ht="15" customHeight="1" x14ac:dyDescent="0.2">
      <c r="A85" s="11">
        <v>45139</v>
      </c>
      <c r="B85" s="120">
        <v>392.61643639153073</v>
      </c>
      <c r="C85" s="120">
        <v>343.53217513248273</v>
      </c>
      <c r="D85" s="120">
        <v>369.77385491999564</v>
      </c>
      <c r="E85" s="120">
        <v>385.75188051695676</v>
      </c>
      <c r="F85" s="120">
        <v>362.8670429986895</v>
      </c>
      <c r="G85" s="120">
        <v>420.41734708046289</v>
      </c>
      <c r="H85" s="120">
        <v>496.94303294805394</v>
      </c>
      <c r="I85" s="120">
        <v>39.630565808629029</v>
      </c>
      <c r="J85" s="120">
        <v>363.44897297945062</v>
      </c>
      <c r="K85" s="120">
        <v>585.76730705310547</v>
      </c>
      <c r="L85" s="120">
        <v>16.908988076646949</v>
      </c>
      <c r="M85" s="120">
        <v>276.22613583025395</v>
      </c>
      <c r="N85" s="120">
        <v>370.94655219683449</v>
      </c>
      <c r="O85" s="120">
        <v>362.9891349262308</v>
      </c>
    </row>
    <row r="86" spans="1:15" ht="15" customHeight="1" x14ac:dyDescent="0.2">
      <c r="A86" s="11">
        <v>45170</v>
      </c>
      <c r="B86" s="120">
        <v>281.13270379310347</v>
      </c>
      <c r="C86" s="120">
        <v>314.37540844546606</v>
      </c>
      <c r="D86" s="120">
        <v>296.60302299273889</v>
      </c>
      <c r="E86" s="120">
        <v>446.95689209975455</v>
      </c>
      <c r="F86" s="120">
        <v>334.43469784330216</v>
      </c>
      <c r="G86" s="120">
        <v>313.42297923111437</v>
      </c>
      <c r="H86" s="120">
        <v>433.07789750972427</v>
      </c>
      <c r="I86" s="120">
        <v>802.17399947173385</v>
      </c>
      <c r="J86" s="120">
        <v>391.47886735688076</v>
      </c>
      <c r="K86" s="120">
        <v>350.03463330468003</v>
      </c>
      <c r="L86" s="120">
        <v>69.427649663219412</v>
      </c>
      <c r="M86" s="120">
        <v>275.1876474441251</v>
      </c>
      <c r="N86" s="120">
        <v>267.37455629777998</v>
      </c>
      <c r="O86" s="120">
        <v>344.7294124998449</v>
      </c>
    </row>
    <row r="87" spans="1:15" ht="15" customHeight="1" x14ac:dyDescent="0.2">
      <c r="A87" s="11">
        <v>45200</v>
      </c>
      <c r="B87" s="120">
        <v>368.02211433103224</v>
      </c>
      <c r="C87" s="120">
        <v>365.7263851917906</v>
      </c>
      <c r="D87" s="120">
        <v>366.9537396921038</v>
      </c>
      <c r="E87" s="120">
        <v>561.39079616852268</v>
      </c>
      <c r="F87" s="120">
        <v>427.15356119416322</v>
      </c>
      <c r="G87" s="120">
        <v>184.16255493769398</v>
      </c>
      <c r="H87" s="120">
        <v>495.61997125283966</v>
      </c>
      <c r="I87" s="120">
        <v>426.30445815872031</v>
      </c>
      <c r="J87" s="120">
        <v>464.68796705627648</v>
      </c>
      <c r="K87" s="120">
        <v>434.79206565003636</v>
      </c>
      <c r="L87" s="120">
        <v>48.832381915740847</v>
      </c>
      <c r="M87" s="120">
        <v>343.07246857021045</v>
      </c>
      <c r="N87" s="120">
        <v>324.29005995216585</v>
      </c>
      <c r="O87" s="120">
        <v>413.96453668178691</v>
      </c>
    </row>
    <row r="88" spans="1:15" ht="15" customHeight="1" x14ac:dyDescent="0.2">
      <c r="A88" s="11">
        <v>45231</v>
      </c>
      <c r="B88" s="120">
        <v>350.82802103644269</v>
      </c>
      <c r="C88" s="120">
        <v>399.26036559663538</v>
      </c>
      <c r="D88" s="120">
        <v>373.36721686206442</v>
      </c>
      <c r="E88" s="120">
        <v>363.04592362641392</v>
      </c>
      <c r="F88" s="120">
        <v>391.38653712130645</v>
      </c>
      <c r="G88" s="120">
        <v>375.44765163418265</v>
      </c>
      <c r="H88" s="120">
        <v>499.71340620277431</v>
      </c>
      <c r="I88" s="120">
        <v>281.41217104989948</v>
      </c>
      <c r="J88" s="120">
        <v>375.67156926582328</v>
      </c>
      <c r="K88" s="120">
        <v>438.56482457388148</v>
      </c>
      <c r="L88" s="120">
        <v>60.398211879075291</v>
      </c>
      <c r="M88" s="120">
        <v>323.7615427630929</v>
      </c>
      <c r="N88" s="120">
        <v>322.83094220412681</v>
      </c>
      <c r="O88" s="120">
        <v>360.85489686193444</v>
      </c>
    </row>
    <row r="89" spans="1:15" ht="15" customHeight="1" x14ac:dyDescent="0.2">
      <c r="A89" s="11">
        <v>45261</v>
      </c>
      <c r="B89" s="120">
        <v>398.48200765095203</v>
      </c>
      <c r="C89" s="120">
        <v>363.71932847569678</v>
      </c>
      <c r="D89" s="120">
        <v>382.30433051247354</v>
      </c>
      <c r="E89" s="120">
        <v>472.32573776237842</v>
      </c>
      <c r="F89" s="120">
        <v>351.14419573636167</v>
      </c>
      <c r="G89" s="120">
        <v>498.45821785337819</v>
      </c>
      <c r="H89" s="120">
        <v>481.00998750991272</v>
      </c>
      <c r="I89" s="120">
        <v>260.5882669500624</v>
      </c>
      <c r="J89" s="120">
        <v>408.60776257464022</v>
      </c>
      <c r="K89" s="120">
        <v>453.4096815872586</v>
      </c>
      <c r="L89" s="120">
        <v>130.13218430284442</v>
      </c>
      <c r="M89" s="120">
        <v>293.63358722231862</v>
      </c>
      <c r="N89" s="120">
        <v>336.2124808573098</v>
      </c>
      <c r="O89" s="120">
        <v>384.9991829193313</v>
      </c>
    </row>
    <row r="90" spans="1:15" ht="15" customHeight="1" x14ac:dyDescent="0.2">
      <c r="A90" s="10" t="s">
        <v>347</v>
      </c>
      <c r="B90" s="12">
        <v>403.45607084909585</v>
      </c>
      <c r="C90" s="12">
        <v>369.33154506952559</v>
      </c>
      <c r="D90" s="12">
        <v>387.57537426117187</v>
      </c>
      <c r="E90" s="12">
        <v>467.9559885096391</v>
      </c>
      <c r="F90" s="12">
        <v>423.03650031211544</v>
      </c>
      <c r="G90" s="12">
        <v>128.24957842789831</v>
      </c>
      <c r="H90" s="12">
        <v>504.75979786893276</v>
      </c>
      <c r="I90" s="12">
        <v>210.05566406702624</v>
      </c>
      <c r="J90" s="12">
        <v>415.24070936200837</v>
      </c>
      <c r="K90" s="12">
        <v>422.96300246949994</v>
      </c>
      <c r="L90" s="12">
        <v>48.335004655847555</v>
      </c>
      <c r="M90" s="12">
        <v>310.31716040869179</v>
      </c>
      <c r="N90" s="12">
        <v>308.61284655695295</v>
      </c>
      <c r="O90" s="12">
        <v>384.33509631015153</v>
      </c>
    </row>
    <row r="91" spans="1:15" ht="15" customHeight="1" x14ac:dyDescent="0.2">
      <c r="A91" s="10" t="s">
        <v>348</v>
      </c>
      <c r="B91" s="12">
        <v>317.4979939091034</v>
      </c>
      <c r="C91" s="12">
        <v>354.38951872912378</v>
      </c>
      <c r="D91" s="12">
        <v>334.66638230274833</v>
      </c>
      <c r="E91" s="12">
        <v>316.90289622396136</v>
      </c>
      <c r="F91" s="12">
        <v>451.26832971360636</v>
      </c>
      <c r="G91" s="12">
        <v>62.150622118646382</v>
      </c>
      <c r="H91" s="12">
        <v>523.37840096416664</v>
      </c>
      <c r="I91" s="12">
        <v>23.488719745820902</v>
      </c>
      <c r="J91" s="12">
        <v>346.34150338195406</v>
      </c>
      <c r="K91" s="12">
        <v>500.48864356396865</v>
      </c>
      <c r="L91" s="12">
        <v>46.54457478613157</v>
      </c>
      <c r="M91" s="12">
        <v>306.53193336606336</v>
      </c>
      <c r="N91" s="12">
        <v>344.65241133740761</v>
      </c>
      <c r="O91" s="12">
        <v>341.05639369287309</v>
      </c>
    </row>
    <row r="92" spans="1:15" ht="15" customHeight="1" x14ac:dyDescent="0.2">
      <c r="A92" s="10" t="s">
        <v>349</v>
      </c>
      <c r="B92" s="12">
        <v>378.77725266293089</v>
      </c>
      <c r="C92" s="12">
        <v>328.25364064351641</v>
      </c>
      <c r="D92" s="12">
        <v>355.26483352517795</v>
      </c>
      <c r="E92" s="12">
        <v>493.02335346927936</v>
      </c>
      <c r="F92" s="12">
        <v>336.95092388085072</v>
      </c>
      <c r="G92" s="12">
        <v>70.481408394991746</v>
      </c>
      <c r="H92" s="12">
        <v>511.00518725769979</v>
      </c>
      <c r="I92" s="12">
        <v>133.41019297179523</v>
      </c>
      <c r="J92" s="12">
        <v>407.18986884511401</v>
      </c>
      <c r="K92" s="12">
        <v>360.39361931214711</v>
      </c>
      <c r="L92" s="12">
        <v>69.7967527117477</v>
      </c>
      <c r="M92" s="12">
        <v>255.48201752455677</v>
      </c>
      <c r="N92" s="12">
        <v>266.29270011370375</v>
      </c>
      <c r="O92" s="12">
        <v>364.79087549530982</v>
      </c>
    </row>
    <row r="93" spans="1:15" ht="15" customHeight="1" x14ac:dyDescent="0.2">
      <c r="A93" s="10" t="s">
        <v>350</v>
      </c>
      <c r="B93" s="12">
        <v>335.33619177776347</v>
      </c>
      <c r="C93" s="12">
        <v>322.77272261359258</v>
      </c>
      <c r="D93" s="12">
        <v>329.48946900784927</v>
      </c>
      <c r="E93" s="12">
        <v>375.85502129752115</v>
      </c>
      <c r="F93" s="12">
        <v>366.04361163108314</v>
      </c>
      <c r="G93" s="12">
        <v>67.5892909072424</v>
      </c>
      <c r="H93" s="12">
        <v>483.52566035319256</v>
      </c>
      <c r="I93" s="12">
        <v>532.29815150317415</v>
      </c>
      <c r="J93" s="12">
        <v>374.15786359718402</v>
      </c>
      <c r="K93" s="12">
        <v>356.42319943612137</v>
      </c>
      <c r="L93" s="12">
        <v>59.306735437951822</v>
      </c>
      <c r="M93" s="12">
        <v>264.36134483422751</v>
      </c>
      <c r="N93" s="12">
        <v>264.88021993658145</v>
      </c>
      <c r="O93" s="12">
        <v>340.16938211944603</v>
      </c>
    </row>
    <row r="94" spans="1:15" ht="15" customHeight="1" x14ac:dyDescent="0.2">
      <c r="A94" s="10" t="s">
        <v>351</v>
      </c>
      <c r="B94" s="12">
        <v>297.38257646694228</v>
      </c>
      <c r="C94" s="12">
        <v>290.70189582060135</v>
      </c>
      <c r="D94" s="12">
        <v>294.27355561107231</v>
      </c>
      <c r="E94" s="12">
        <v>328.47734977534532</v>
      </c>
      <c r="F94" s="12">
        <v>399.71554664816171</v>
      </c>
      <c r="G94" s="12">
        <v>238.86043016093382</v>
      </c>
      <c r="H94" s="12">
        <v>465.32461289122097</v>
      </c>
      <c r="I94" s="12">
        <v>592.49663245107809</v>
      </c>
      <c r="J94" s="12">
        <v>366.86287145000796</v>
      </c>
      <c r="K94" s="12">
        <v>396.32635237519855</v>
      </c>
      <c r="L94" s="12">
        <v>55.722489690850324</v>
      </c>
      <c r="M94" s="12">
        <v>270.77156806203948</v>
      </c>
      <c r="N94" s="12">
        <v>285.3754934195486</v>
      </c>
      <c r="O94" s="12">
        <v>333.20407301443078</v>
      </c>
    </row>
    <row r="95" spans="1:15" ht="15" customHeight="1" x14ac:dyDescent="0.2">
      <c r="A95" s="10" t="s">
        <v>352</v>
      </c>
      <c r="B95" s="12">
        <v>347.76680079411324</v>
      </c>
      <c r="C95" s="12">
        <v>291.73151831156844</v>
      </c>
      <c r="D95" s="12">
        <v>321.68938875703049</v>
      </c>
      <c r="E95" s="12">
        <v>387.52099060155808</v>
      </c>
      <c r="F95" s="12">
        <v>415.86561361892831</v>
      </c>
      <c r="G95" s="12">
        <v>74.241885178986038</v>
      </c>
      <c r="H95" s="12">
        <v>422.79008062909622</v>
      </c>
      <c r="I95" s="12">
        <v>143.80373506818449</v>
      </c>
      <c r="J95" s="12">
        <v>371.52435686206826</v>
      </c>
      <c r="K95" s="12">
        <v>451.38889866013039</v>
      </c>
      <c r="L95" s="12">
        <v>56.634398171228085</v>
      </c>
      <c r="M95" s="12">
        <v>292.48807358283824</v>
      </c>
      <c r="N95" s="12">
        <v>318.72057918034312</v>
      </c>
      <c r="O95" s="12">
        <v>347.89108917709609</v>
      </c>
    </row>
    <row r="96" spans="1:15" ht="15" customHeight="1" x14ac:dyDescent="0.2">
      <c r="A96" s="10" t="s">
        <v>353</v>
      </c>
      <c r="B96" s="12">
        <v>433.04621607203251</v>
      </c>
      <c r="C96" s="12">
        <v>407.63776745141513</v>
      </c>
      <c r="D96" s="12">
        <v>421.22176271785725</v>
      </c>
      <c r="E96" s="12">
        <v>357.198444893491</v>
      </c>
      <c r="F96" s="12">
        <v>497.95703936243524</v>
      </c>
      <c r="G96" s="12">
        <v>229.76582932628429</v>
      </c>
      <c r="H96" s="12">
        <v>606.78014161646081</v>
      </c>
      <c r="I96" s="12">
        <v>371.73046990756563</v>
      </c>
      <c r="J96" s="12">
        <v>427.21267510166228</v>
      </c>
      <c r="K96" s="12">
        <v>536.3386049879856</v>
      </c>
      <c r="L96" s="12">
        <v>146.43536801687171</v>
      </c>
      <c r="M96" s="12">
        <v>369.60988839719874</v>
      </c>
      <c r="N96" s="12">
        <v>402.44836581938358</v>
      </c>
      <c r="O96" s="12">
        <v>416.95354935989479</v>
      </c>
    </row>
    <row r="97" spans="1:15" ht="15" customHeight="1" x14ac:dyDescent="0.2">
      <c r="A97" s="10" t="s">
        <v>354</v>
      </c>
      <c r="B97" s="12">
        <v>465.22074748421159</v>
      </c>
      <c r="C97" s="12">
        <v>349.04984860840943</v>
      </c>
      <c r="D97" s="12">
        <v>411.15773106868363</v>
      </c>
      <c r="E97" s="12">
        <v>367.78846092653703</v>
      </c>
      <c r="F97" s="12">
        <v>409.84570658754114</v>
      </c>
      <c r="G97" s="12">
        <v>509.00104711596214</v>
      </c>
      <c r="H97" s="12">
        <v>582.54399533284868</v>
      </c>
      <c r="I97" s="12">
        <v>468.65944660568732</v>
      </c>
      <c r="J97" s="12">
        <v>415.98959592342078</v>
      </c>
      <c r="K97" s="12">
        <v>467.35470921045533</v>
      </c>
      <c r="L97" s="12">
        <v>52.925542440965231</v>
      </c>
      <c r="M97" s="12">
        <v>308.33249152974042</v>
      </c>
      <c r="N97" s="12">
        <v>330.70159308999104</v>
      </c>
      <c r="O97" s="12">
        <v>393.65317370628134</v>
      </c>
    </row>
    <row r="98" spans="1:15" ht="15" customHeight="1" x14ac:dyDescent="0.2">
      <c r="A98" s="10" t="s">
        <v>355</v>
      </c>
      <c r="B98" s="12">
        <v>346.1180837867725</v>
      </c>
      <c r="C98" s="12">
        <v>380.25831262624837</v>
      </c>
      <c r="D98" s="12">
        <v>362.00608818408477</v>
      </c>
      <c r="E98" s="12">
        <v>395.16189478415657</v>
      </c>
      <c r="F98" s="12">
        <v>426.30433015264816</v>
      </c>
      <c r="G98" s="12">
        <v>315.90372663611339</v>
      </c>
      <c r="H98" s="12">
        <v>545.43100414305138</v>
      </c>
      <c r="I98" s="12">
        <v>585.27081651328751</v>
      </c>
      <c r="J98" s="12">
        <v>413.16389319607049</v>
      </c>
      <c r="K98" s="12">
        <v>544.02513423820039</v>
      </c>
      <c r="L98" s="12">
        <v>69.194685661273155</v>
      </c>
      <c r="M98" s="12">
        <v>326.69370405711896</v>
      </c>
      <c r="N98" s="12">
        <v>376.73317560809824</v>
      </c>
      <c r="O98" s="12">
        <v>392.30895025253665</v>
      </c>
    </row>
    <row r="99" spans="1:15" ht="15" customHeight="1" x14ac:dyDescent="0.2">
      <c r="A99" s="10" t="s">
        <v>356</v>
      </c>
      <c r="B99" s="12">
        <v>354.44026106103098</v>
      </c>
      <c r="C99" s="12">
        <v>383.29448011424552</v>
      </c>
      <c r="D99" s="12">
        <v>367.86828936611374</v>
      </c>
      <c r="E99" s="12">
        <v>345.82126924692017</v>
      </c>
      <c r="F99" s="12">
        <v>469.40470968215789</v>
      </c>
      <c r="G99" s="12">
        <v>473.77632936413596</v>
      </c>
      <c r="H99" s="12">
        <v>527.04868140369069</v>
      </c>
      <c r="I99" s="12">
        <v>399.41604648394019</v>
      </c>
      <c r="J99" s="12">
        <v>418.07756059499542</v>
      </c>
      <c r="K99" s="12">
        <v>555.46653500030152</v>
      </c>
      <c r="L99" s="12">
        <v>70.684302690594805</v>
      </c>
      <c r="M99" s="12">
        <v>297.93856036482327</v>
      </c>
      <c r="N99" s="12">
        <v>373.94139784506285</v>
      </c>
      <c r="O99" s="12">
        <v>395.88539959893683</v>
      </c>
    </row>
    <row r="100" spans="1:15" ht="15" customHeight="1" x14ac:dyDescent="0.2">
      <c r="A100" s="10" t="s">
        <v>357</v>
      </c>
      <c r="B100" s="12">
        <v>384.28443873308493</v>
      </c>
      <c r="C100" s="12">
        <v>418.71342858212171</v>
      </c>
      <c r="D100" s="12">
        <v>400.30682524632408</v>
      </c>
      <c r="E100" s="12">
        <v>316.6156188421707</v>
      </c>
      <c r="F100" s="12">
        <v>413.84694685423767</v>
      </c>
      <c r="G100" s="12">
        <v>139.83175771902842</v>
      </c>
      <c r="H100" s="12">
        <v>456.35055207862592</v>
      </c>
      <c r="I100" s="12">
        <v>434.27149689364688</v>
      </c>
      <c r="J100" s="12">
        <v>354.2942229522497</v>
      </c>
      <c r="K100" s="12">
        <v>389.88870508258157</v>
      </c>
      <c r="L100" s="12">
        <v>70.831575645757027</v>
      </c>
      <c r="M100" s="12">
        <v>278.2204785503223</v>
      </c>
      <c r="N100" s="12">
        <v>288.12223070772149</v>
      </c>
      <c r="O100" s="12">
        <v>345.85861041198643</v>
      </c>
    </row>
    <row r="101" spans="1:15" ht="15" customHeight="1" x14ac:dyDescent="0.2">
      <c r="A101" s="10" t="s">
        <v>358</v>
      </c>
      <c r="B101" s="12">
        <v>567.59242726305706</v>
      </c>
      <c r="C101" s="12">
        <v>416.85382636091123</v>
      </c>
      <c r="D101" s="12">
        <v>497.442471173461</v>
      </c>
      <c r="E101" s="12">
        <v>441.82828299275678</v>
      </c>
      <c r="F101" s="12">
        <v>432.25982690764522</v>
      </c>
      <c r="G101" s="12">
        <v>350.3659862743429</v>
      </c>
      <c r="H101" s="12">
        <v>457.13762092785282</v>
      </c>
      <c r="I101" s="12">
        <v>679.64892050962249</v>
      </c>
      <c r="J101" s="12">
        <v>432.65120095249091</v>
      </c>
      <c r="K101" s="12">
        <v>672.03722274988979</v>
      </c>
      <c r="L101" s="12">
        <v>88.343965325058107</v>
      </c>
      <c r="M101" s="12">
        <v>335.67993250612216</v>
      </c>
      <c r="N101" s="12">
        <v>445.65969949249831</v>
      </c>
      <c r="O101" s="12">
        <v>444.32779144810439</v>
      </c>
    </row>
    <row r="102" spans="1:15" ht="15" customHeight="1" x14ac:dyDescent="0.2">
      <c r="A102" s="11" t="s">
        <v>287</v>
      </c>
      <c r="B102" s="122">
        <v>573.59528256882334</v>
      </c>
      <c r="C102" s="120">
        <v>379.01374307667879</v>
      </c>
      <c r="D102" s="123">
        <v>483.04192483876869</v>
      </c>
      <c r="E102" s="120">
        <v>431.77659079818733</v>
      </c>
      <c r="F102" s="120">
        <v>404.41911831142119</v>
      </c>
      <c r="G102" s="120">
        <v>164.60598723009798</v>
      </c>
      <c r="H102" s="120">
        <v>492.56245508865049</v>
      </c>
      <c r="I102" s="120">
        <v>489.59106094102691</v>
      </c>
      <c r="J102" s="120">
        <v>414.55823907388532</v>
      </c>
      <c r="K102" s="120">
        <v>563.55383960665006</v>
      </c>
      <c r="L102" s="120">
        <v>90.186358539943242</v>
      </c>
      <c r="M102" s="120">
        <v>317.79655842272479</v>
      </c>
      <c r="N102" s="120">
        <v>388.09120250569771</v>
      </c>
      <c r="O102" s="120">
        <v>418.60521454326164</v>
      </c>
    </row>
    <row r="103" spans="1:15" ht="15" customHeight="1" x14ac:dyDescent="0.2">
      <c r="A103" s="11" t="s">
        <v>288</v>
      </c>
      <c r="B103" s="122">
        <v>474.43877088285825</v>
      </c>
      <c r="C103" s="120">
        <v>415.30526208226337</v>
      </c>
      <c r="D103" s="123">
        <v>446.91952219035949</v>
      </c>
      <c r="E103" s="120">
        <v>288.36349911392932</v>
      </c>
      <c r="F103" s="120">
        <v>401.94367519654634</v>
      </c>
      <c r="G103" s="120">
        <v>208.95284455613717</v>
      </c>
      <c r="H103" s="120">
        <v>475.32591875531227</v>
      </c>
      <c r="I103" s="120">
        <v>175.96791385992944</v>
      </c>
      <c r="J103" s="120">
        <v>328.74523833241699</v>
      </c>
      <c r="K103" s="120">
        <v>415.7508836326453</v>
      </c>
      <c r="L103" s="120">
        <v>92.764149010313162</v>
      </c>
      <c r="M103" s="120">
        <v>287.26074410428231</v>
      </c>
      <c r="N103" s="120">
        <v>308.01899874490255</v>
      </c>
      <c r="O103" s="120">
        <v>343.99617929325331</v>
      </c>
    </row>
    <row r="104" spans="1:15" ht="15" customHeight="1" x14ac:dyDescent="0.2">
      <c r="A104" s="11" t="s">
        <v>289</v>
      </c>
      <c r="B104" s="122">
        <v>460.06927206279795</v>
      </c>
      <c r="C104" s="120">
        <v>470.02388943537437</v>
      </c>
      <c r="D104" s="123">
        <v>464.7019007816242</v>
      </c>
      <c r="E104" s="120">
        <v>372.53659758237808</v>
      </c>
      <c r="F104" s="120">
        <v>372.02662799449121</v>
      </c>
      <c r="G104" s="120">
        <v>298.92594595202632</v>
      </c>
      <c r="H104" s="120">
        <v>526.82157320121632</v>
      </c>
      <c r="I104" s="120">
        <v>315.30515711786063</v>
      </c>
      <c r="J104" s="120">
        <v>372.91140037379466</v>
      </c>
      <c r="K104" s="120">
        <v>501.07388634349945</v>
      </c>
      <c r="L104" s="120">
        <v>134.47601925439079</v>
      </c>
      <c r="M104" s="120">
        <v>291.04109731118245</v>
      </c>
      <c r="N104" s="120">
        <v>359.32492091914668</v>
      </c>
      <c r="O104" s="120">
        <v>383.50554738729136</v>
      </c>
    </row>
    <row r="105" spans="1:15" ht="15" customHeight="1" x14ac:dyDescent="0.2">
      <c r="A105" s="11" t="s">
        <v>290</v>
      </c>
      <c r="B105" s="122">
        <v>382.55926609428855</v>
      </c>
      <c r="C105" s="120">
        <v>691.24220031307027</v>
      </c>
      <c r="D105" s="123">
        <v>526.21254502522606</v>
      </c>
      <c r="E105" s="120">
        <v>369.55725067067078</v>
      </c>
      <c r="F105" s="120">
        <v>380.61158575328432</v>
      </c>
      <c r="G105" s="120">
        <v>167.06459100776323</v>
      </c>
      <c r="H105" s="120">
        <v>524.06932996857586</v>
      </c>
      <c r="I105" s="120">
        <v>112.39804415451448</v>
      </c>
      <c r="J105" s="120">
        <v>366.15415414775543</v>
      </c>
      <c r="K105" s="120">
        <v>505.36757436913251</v>
      </c>
      <c r="L105" s="120">
        <v>204.92869974987488</v>
      </c>
      <c r="M105" s="120">
        <v>357.15698253394459</v>
      </c>
      <c r="N105" s="120">
        <v>396.37521126255757</v>
      </c>
      <c r="O105" s="120">
        <v>398.38398744746456</v>
      </c>
    </row>
    <row r="106" spans="1:15" ht="15" customHeight="1" x14ac:dyDescent="0.2">
      <c r="A106" s="11" t="s">
        <v>291</v>
      </c>
      <c r="B106" s="122">
        <v>384.13344149073959</v>
      </c>
      <c r="C106" s="120">
        <v>630.12191511062838</v>
      </c>
      <c r="D106" s="123">
        <v>498.61029426572321</v>
      </c>
      <c r="E106" s="120">
        <v>264.16614454012461</v>
      </c>
      <c r="F106" s="120">
        <v>382.22787641139922</v>
      </c>
      <c r="G106" s="120">
        <v>81.353472112332994</v>
      </c>
      <c r="H106" s="120">
        <v>472.68455102411633</v>
      </c>
      <c r="I106" s="120">
        <v>131.20561370782247</v>
      </c>
      <c r="J106" s="120">
        <v>327.66247880342797</v>
      </c>
      <c r="K106" s="120">
        <v>429.79126572162045</v>
      </c>
      <c r="L106" s="120">
        <v>175.40024827697445</v>
      </c>
      <c r="M106" s="120">
        <v>289.56719793304103</v>
      </c>
      <c r="N106" s="120">
        <v>333.06512918972828</v>
      </c>
      <c r="O106" s="120">
        <v>357.20528185483067</v>
      </c>
    </row>
    <row r="107" spans="1:15" ht="15" customHeight="1" x14ac:dyDescent="0.2">
      <c r="A107" s="11" t="s">
        <v>292</v>
      </c>
      <c r="B107" s="122">
        <v>338.08894282607685</v>
      </c>
      <c r="C107" s="120">
        <v>769.52260003364677</v>
      </c>
      <c r="D107" s="123">
        <v>538.86732293278806</v>
      </c>
      <c r="E107" s="120">
        <v>347.01235071493977</v>
      </c>
      <c r="F107" s="120">
        <v>393.44316958648466</v>
      </c>
      <c r="G107" s="120">
        <v>316.7286752387119</v>
      </c>
      <c r="H107" s="120">
        <v>478.23514146485053</v>
      </c>
      <c r="I107" s="120">
        <v>223.60731340086036</v>
      </c>
      <c r="J107" s="120">
        <v>379.07649364884873</v>
      </c>
      <c r="K107" s="120">
        <v>438.13638988278001</v>
      </c>
      <c r="L107" s="120">
        <v>229.99912221857358</v>
      </c>
      <c r="M107" s="120">
        <v>299.82709750461703</v>
      </c>
      <c r="N107" s="120">
        <v>351.75530475292493</v>
      </c>
      <c r="O107" s="120">
        <v>399.31144110164217</v>
      </c>
    </row>
    <row r="108" spans="1:15" ht="15" customHeight="1" x14ac:dyDescent="0.2">
      <c r="A108" s="11" t="s">
        <v>341</v>
      </c>
      <c r="B108" s="122">
        <v>413.40935845696242</v>
      </c>
      <c r="C108" s="120">
        <v>857.59486577731491</v>
      </c>
      <c r="D108" s="123">
        <v>620.12212909217214</v>
      </c>
      <c r="E108" s="120">
        <v>283.4274650560551</v>
      </c>
      <c r="F108" s="120">
        <v>439.33043543366568</v>
      </c>
      <c r="G108" s="120">
        <v>367.56418173350033</v>
      </c>
      <c r="H108" s="120">
        <v>558.41982624519972</v>
      </c>
      <c r="I108" s="120">
        <v>812.94863412620009</v>
      </c>
      <c r="J108" s="120">
        <v>394.22628131420845</v>
      </c>
      <c r="K108" s="120">
        <v>628.7519654200496</v>
      </c>
      <c r="L108" s="120">
        <v>296.79408618213455</v>
      </c>
      <c r="M108" s="120">
        <v>350.43673008127132</v>
      </c>
      <c r="N108" s="120">
        <v>474.10428181087752</v>
      </c>
      <c r="O108" s="120">
        <v>448.6382481325972</v>
      </c>
    </row>
    <row r="109" spans="1:15" ht="15" customHeight="1" x14ac:dyDescent="0.2">
      <c r="A109" s="11" t="s">
        <v>342</v>
      </c>
      <c r="B109" s="122">
        <v>372.46454460748197</v>
      </c>
      <c r="C109" s="120">
        <v>958.99711287841228</v>
      </c>
      <c r="D109" s="123">
        <v>645.42205955770908</v>
      </c>
      <c r="E109" s="120">
        <v>268.59041238984025</v>
      </c>
      <c r="F109" s="120">
        <v>368.62952469839138</v>
      </c>
      <c r="G109" s="120">
        <v>574.31938166989653</v>
      </c>
      <c r="H109" s="120">
        <v>507.66940017962281</v>
      </c>
      <c r="I109" s="120">
        <v>189.83644639606615</v>
      </c>
      <c r="J109" s="120">
        <v>345.46489868196522</v>
      </c>
      <c r="K109" s="120">
        <v>447.95179042522108</v>
      </c>
      <c r="L109" s="120">
        <v>313.17741213425199</v>
      </c>
      <c r="M109" s="120">
        <v>313.43332401035747</v>
      </c>
      <c r="N109" s="120">
        <v>378.48934205419243</v>
      </c>
      <c r="O109" s="120">
        <v>404.86054610951356</v>
      </c>
    </row>
    <row r="110" spans="1:15" ht="15" customHeight="1" x14ac:dyDescent="0.2">
      <c r="A110" s="11" t="s">
        <v>343</v>
      </c>
      <c r="B110" s="122">
        <v>352.74731974294019</v>
      </c>
      <c r="C110" s="120">
        <v>1048.0532372952975</v>
      </c>
      <c r="D110" s="123">
        <v>676.3252174626997</v>
      </c>
      <c r="E110" s="120">
        <v>464.78756439900775</v>
      </c>
      <c r="F110" s="120">
        <v>432.22217309043259</v>
      </c>
      <c r="G110" s="120">
        <v>499.64338133544373</v>
      </c>
      <c r="H110" s="120">
        <v>550.43662139555317</v>
      </c>
      <c r="I110" s="120">
        <v>574.79454156204974</v>
      </c>
      <c r="J110" s="120">
        <v>470.14104976771773</v>
      </c>
      <c r="K110" s="120">
        <v>453.52531264627879</v>
      </c>
      <c r="L110" s="120">
        <v>366.65356073262035</v>
      </c>
      <c r="M110" s="120">
        <v>349.54930511859396</v>
      </c>
      <c r="N110" s="120">
        <v>403.60700804366525</v>
      </c>
      <c r="O110" s="120">
        <v>490.0352182365441</v>
      </c>
    </row>
    <row r="111" spans="1:15" ht="15" customHeight="1" x14ac:dyDescent="0.2">
      <c r="A111" s="11" t="s">
        <v>344</v>
      </c>
      <c r="B111" s="122">
        <v>491.98954149230104</v>
      </c>
      <c r="C111" s="120">
        <v>1026.9863157699226</v>
      </c>
      <c r="D111" s="123">
        <v>740.9635932550201</v>
      </c>
      <c r="E111" s="120">
        <v>378.60402587404218</v>
      </c>
      <c r="F111" s="120">
        <v>457.38157848521064</v>
      </c>
      <c r="G111" s="120">
        <v>532.28624027790943</v>
      </c>
      <c r="H111" s="120">
        <v>686.64743443772784</v>
      </c>
      <c r="I111" s="120">
        <v>806.47454379848375</v>
      </c>
      <c r="J111" s="120">
        <v>464.24553588388284</v>
      </c>
      <c r="K111" s="120">
        <v>615.15929237687396</v>
      </c>
      <c r="L111" s="120">
        <v>369.63234820897316</v>
      </c>
      <c r="M111" s="120">
        <v>395.57900874328652</v>
      </c>
      <c r="N111" s="120">
        <v>496.43597246702456</v>
      </c>
      <c r="O111" s="120">
        <v>517.50438220582214</v>
      </c>
    </row>
    <row r="112" spans="1:15" ht="15" customHeight="1" x14ac:dyDescent="0.2">
      <c r="A112" s="11" t="s">
        <v>345</v>
      </c>
      <c r="B112" s="122">
        <v>386.16843699308123</v>
      </c>
      <c r="C112" s="120">
        <v>1029.5314632344464</v>
      </c>
      <c r="D112" s="123">
        <v>685.5734186659538</v>
      </c>
      <c r="E112" s="120">
        <v>356.35138529894601</v>
      </c>
      <c r="F112" s="120">
        <v>365.13947492386188</v>
      </c>
      <c r="G112" s="120">
        <v>651.6272457985441</v>
      </c>
      <c r="H112" s="120">
        <v>484.6975720425279</v>
      </c>
      <c r="I112" s="120">
        <v>453.38826554098773</v>
      </c>
      <c r="J112" s="120">
        <v>384.71309925954091</v>
      </c>
      <c r="K112" s="120">
        <v>408.44614084898029</v>
      </c>
      <c r="L112" s="120">
        <v>344.50369507095536</v>
      </c>
      <c r="M112" s="120">
        <v>289.03463997011909</v>
      </c>
      <c r="N112" s="120">
        <v>359.19074249908357</v>
      </c>
      <c r="O112" s="120">
        <v>431.26945566583697</v>
      </c>
    </row>
    <row r="113" spans="1:15" ht="15" customHeight="1" x14ac:dyDescent="0.2">
      <c r="A113" s="11" t="s">
        <v>346</v>
      </c>
      <c r="B113" s="122">
        <v>474.81133513082955</v>
      </c>
      <c r="C113" s="120">
        <v>1193.6382079773878</v>
      </c>
      <c r="D113" s="123">
        <v>809.33529425223799</v>
      </c>
      <c r="E113" s="120">
        <v>420.98293061803508</v>
      </c>
      <c r="F113" s="120">
        <v>456.15309940537816</v>
      </c>
      <c r="G113" s="120">
        <v>260.41486540719757</v>
      </c>
      <c r="H113" s="120">
        <v>619.86787981401858</v>
      </c>
      <c r="I113" s="120">
        <v>520.33024642469627</v>
      </c>
      <c r="J113" s="120">
        <v>459.89472467109539</v>
      </c>
      <c r="K113" s="120">
        <v>594.0515959512353</v>
      </c>
      <c r="L113" s="120">
        <v>389.08391794023254</v>
      </c>
      <c r="M113" s="120">
        <v>413.49061904373366</v>
      </c>
      <c r="N113" s="120">
        <v>496.1923449280788</v>
      </c>
      <c r="O113" s="120">
        <v>527.48832278720727</v>
      </c>
    </row>
    <row r="114" spans="1:15" ht="15" customHeight="1" x14ac:dyDescent="0.2">
      <c r="A114" s="10" t="s">
        <v>373</v>
      </c>
      <c r="B114" s="12">
        <v>399.53950187545325</v>
      </c>
      <c r="C114" s="12">
        <v>896.58212894013388</v>
      </c>
      <c r="D114" s="12">
        <v>630.85064749156254</v>
      </c>
      <c r="E114" s="12">
        <v>273.96807298035293</v>
      </c>
      <c r="F114" s="12">
        <v>441.37812205091609</v>
      </c>
      <c r="G114" s="12">
        <v>100.53099790152341</v>
      </c>
      <c r="H114" s="12">
        <v>542.83780230107698</v>
      </c>
      <c r="I114" s="12">
        <v>768.24244618693251</v>
      </c>
      <c r="J114" s="12">
        <v>381.76427576209858</v>
      </c>
      <c r="K114" s="12">
        <v>580.69632253398777</v>
      </c>
      <c r="L114" s="12">
        <v>402.89889361021625</v>
      </c>
      <c r="M114" s="12">
        <v>331.91991497244726</v>
      </c>
      <c r="N114" s="12">
        <v>468.33255436158061</v>
      </c>
      <c r="O114" s="12">
        <v>441.99684934487379</v>
      </c>
    </row>
    <row r="115" spans="1:15" ht="15" customHeight="1" x14ac:dyDescent="0.2">
      <c r="A115" s="10" t="s">
        <v>374</v>
      </c>
      <c r="B115" s="12">
        <v>402.26144474482226</v>
      </c>
      <c r="C115" s="12">
        <v>896.11585596543648</v>
      </c>
      <c r="D115" s="12">
        <v>632.08887484196759</v>
      </c>
      <c r="E115" s="12">
        <v>429.69644432784071</v>
      </c>
      <c r="F115" s="12">
        <v>415.43580133525489</v>
      </c>
      <c r="G115" s="12">
        <v>232.40244273170578</v>
      </c>
      <c r="H115" s="12">
        <v>524.92216077273872</v>
      </c>
      <c r="I115" s="12">
        <v>150.94884733537398</v>
      </c>
      <c r="J115" s="12">
        <v>405.23699990897688</v>
      </c>
      <c r="K115" s="12">
        <v>562.08864424094645</v>
      </c>
      <c r="L115" s="12">
        <v>312.70127407086812</v>
      </c>
      <c r="M115" s="12">
        <v>310.77565640159503</v>
      </c>
      <c r="N115" s="12">
        <v>433.41532475784931</v>
      </c>
      <c r="O115" s="12">
        <v>449.06753886537751</v>
      </c>
    </row>
    <row r="116" spans="1:15" ht="15" customHeight="1" x14ac:dyDescent="0.2">
      <c r="A116" s="10" t="s">
        <v>375</v>
      </c>
      <c r="B116" s="12">
        <v>469.00361142289069</v>
      </c>
      <c r="C116" s="12">
        <v>893.76526614618649</v>
      </c>
      <c r="D116" s="12">
        <v>666.67700927223484</v>
      </c>
      <c r="E116" s="12">
        <v>685.98156980906003</v>
      </c>
      <c r="F116" s="12">
        <v>431.96864465992257</v>
      </c>
      <c r="G116" s="12">
        <v>52.031141074243131</v>
      </c>
      <c r="H116" s="12">
        <v>639.09594904109622</v>
      </c>
      <c r="I116" s="12">
        <v>258.67677334971705</v>
      </c>
      <c r="J116" s="12">
        <v>518.75269469013597</v>
      </c>
      <c r="K116" s="12">
        <v>543.8823299697018</v>
      </c>
      <c r="L116" s="12">
        <v>381.26640190629769</v>
      </c>
      <c r="M116" s="12">
        <v>337.54630863508362</v>
      </c>
      <c r="N116" s="12">
        <v>447.10340112654382</v>
      </c>
      <c r="O116" s="12">
        <v>526.8968502688947</v>
      </c>
    </row>
    <row r="117" spans="1:15" ht="15" customHeight="1" x14ac:dyDescent="0.2">
      <c r="A117" s="166" t="s">
        <v>397</v>
      </c>
      <c r="B117" s="191">
        <v>598.52759380144596</v>
      </c>
      <c r="C117" s="191">
        <v>925.55304345509182</v>
      </c>
      <c r="D117" s="191">
        <v>750.71701838205524</v>
      </c>
      <c r="E117" s="191">
        <v>978.77677041946947</v>
      </c>
      <c r="F117" s="191">
        <v>355.49158036066581</v>
      </c>
      <c r="G117" s="191">
        <v>555.3821110623561</v>
      </c>
      <c r="H117" s="191">
        <v>683.2288403189375</v>
      </c>
      <c r="I117" s="191">
        <v>148.95324197860563</v>
      </c>
      <c r="J117" s="191">
        <v>630.2178791093163</v>
      </c>
      <c r="K117" s="191">
        <v>625.68973875098197</v>
      </c>
      <c r="L117" s="191">
        <v>306.71803893431326</v>
      </c>
      <c r="M117" s="191">
        <v>360.82106485201274</v>
      </c>
      <c r="N117" s="191">
        <v>477.64460561298262</v>
      </c>
      <c r="O117" s="191">
        <v>615.38171747388128</v>
      </c>
    </row>
    <row r="118" spans="1:15" ht="15" customHeight="1" x14ac:dyDescent="0.2">
      <c r="A118" s="76" t="s">
        <v>244</v>
      </c>
      <c r="M118" s="19" t="s">
        <v>336</v>
      </c>
    </row>
    <row r="119" spans="1:15" ht="15" customHeight="1" x14ac:dyDescent="0.2">
      <c r="A119" s="76" t="s">
        <v>1</v>
      </c>
    </row>
    <row r="120" spans="1:15" ht="15" customHeight="1" x14ac:dyDescent="0.2"/>
    <row r="121" spans="1:15" ht="15" customHeight="1" x14ac:dyDescent="0.2"/>
    <row r="122" spans="1:15" ht="15" customHeight="1" x14ac:dyDescent="0.2"/>
    <row r="123" spans="1:15" ht="15" customHeight="1" x14ac:dyDescent="0.2"/>
    <row r="124" spans="1:15" ht="15" customHeight="1" x14ac:dyDescent="0.2"/>
    <row r="125" spans="1:15" ht="15" customHeight="1" x14ac:dyDescent="0.2"/>
    <row r="126" spans="1:15" ht="15" customHeight="1" x14ac:dyDescent="0.2"/>
  </sheetData>
  <mergeCells count="6">
    <mergeCell ref="A4:O4"/>
    <mergeCell ref="A6:A8"/>
    <mergeCell ref="O6:O8"/>
    <mergeCell ref="B7:D7"/>
    <mergeCell ref="E7:J7"/>
    <mergeCell ref="K7:N7"/>
  </mergeCells>
  <phoneticPr fontId="19" type="noConversion"/>
  <hyperlinks>
    <hyperlink ref="O2" location="Contents!A1" display="Back to Contents" xr:uid="{7569AD22-202A-4B18-8FF3-2D8767C0DB0D}"/>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9F57A-CD7F-4EB8-AA5F-23597C952EEE}">
  <dimension ref="A1:L119"/>
  <sheetViews>
    <sheetView workbookViewId="0">
      <selection activeCell="L2" sqref="L2"/>
    </sheetView>
  </sheetViews>
  <sheetFormatPr defaultRowHeight="12.75" x14ac:dyDescent="0.2"/>
  <cols>
    <col min="1" max="1" width="13.42578125" style="76" customWidth="1"/>
    <col min="2" max="12" width="16.28515625" style="19" customWidth="1"/>
    <col min="13" max="13" width="5.5703125" style="19" customWidth="1"/>
    <col min="14" max="16384" width="9.140625" style="19"/>
  </cols>
  <sheetData>
    <row r="1" spans="1:12" s="16" customFormat="1" ht="15" customHeight="1" x14ac:dyDescent="0.25">
      <c r="A1" s="13" t="s">
        <v>29</v>
      </c>
      <c r="K1" s="55" t="s">
        <v>235</v>
      </c>
      <c r="L1" s="15" t="s">
        <v>268</v>
      </c>
    </row>
    <row r="2" spans="1:12" s="16" customFormat="1" ht="15" customHeight="1" x14ac:dyDescent="0.25">
      <c r="A2" s="54" t="s">
        <v>286</v>
      </c>
      <c r="K2" s="55"/>
      <c r="L2" s="17" t="s">
        <v>10</v>
      </c>
    </row>
    <row r="3" spans="1:12" s="16" customFormat="1" ht="15" customHeight="1" x14ac:dyDescent="0.25">
      <c r="A3" s="54"/>
      <c r="K3" s="55"/>
      <c r="L3" s="17"/>
    </row>
    <row r="4" spans="1:12" s="16" customFormat="1" ht="15" customHeight="1" x14ac:dyDescent="0.25">
      <c r="A4" s="267" t="s">
        <v>267</v>
      </c>
      <c r="B4" s="267"/>
      <c r="C4" s="267"/>
      <c r="D4" s="267"/>
      <c r="E4" s="267"/>
      <c r="F4" s="267"/>
      <c r="G4" s="267"/>
      <c r="H4" s="267"/>
      <c r="I4" s="267"/>
      <c r="J4" s="267"/>
      <c r="K4" s="267"/>
      <c r="L4" s="267"/>
    </row>
    <row r="5" spans="1:12" s="16" customFormat="1" ht="15" customHeight="1" x14ac:dyDescent="0.25">
      <c r="A5" s="119" t="s">
        <v>117</v>
      </c>
      <c r="L5" s="116" t="s">
        <v>236</v>
      </c>
    </row>
    <row r="6" spans="1:12" ht="15" customHeight="1" x14ac:dyDescent="0.2">
      <c r="A6" s="268" t="s">
        <v>3</v>
      </c>
      <c r="B6" s="117" t="s">
        <v>31</v>
      </c>
      <c r="C6" s="117"/>
      <c r="D6" s="117"/>
      <c r="E6" s="117"/>
      <c r="F6" s="117"/>
      <c r="G6" s="117"/>
      <c r="H6" s="117"/>
      <c r="I6" s="117"/>
      <c r="J6" s="117"/>
      <c r="K6" s="117"/>
      <c r="L6" s="227" t="s">
        <v>237</v>
      </c>
    </row>
    <row r="7" spans="1:12" ht="15" customHeight="1" x14ac:dyDescent="0.2">
      <c r="A7" s="268"/>
      <c r="B7" s="214" t="s">
        <v>238</v>
      </c>
      <c r="C7" s="214"/>
      <c r="D7" s="214"/>
      <c r="E7" s="214"/>
      <c r="F7" s="214" t="s">
        <v>239</v>
      </c>
      <c r="G7" s="214"/>
      <c r="H7" s="214"/>
      <c r="I7" s="214"/>
      <c r="J7" s="214"/>
      <c r="K7" s="214" t="s">
        <v>105</v>
      </c>
      <c r="L7" s="228"/>
    </row>
    <row r="8" spans="1:12" ht="30" customHeight="1" x14ac:dyDescent="0.2">
      <c r="A8" s="268"/>
      <c r="B8" s="118" t="s">
        <v>240</v>
      </c>
      <c r="C8" s="118" t="s">
        <v>241</v>
      </c>
      <c r="D8" s="118" t="s">
        <v>74</v>
      </c>
      <c r="E8" s="118" t="s">
        <v>2</v>
      </c>
      <c r="F8" s="118" t="s">
        <v>149</v>
      </c>
      <c r="G8" s="118" t="s">
        <v>150</v>
      </c>
      <c r="H8" s="118" t="s">
        <v>242</v>
      </c>
      <c r="I8" s="118" t="s">
        <v>243</v>
      </c>
      <c r="J8" s="118" t="s">
        <v>12</v>
      </c>
      <c r="K8" s="214"/>
      <c r="L8" s="229"/>
    </row>
    <row r="9" spans="1:12" ht="15" customHeight="1" x14ac:dyDescent="0.2">
      <c r="A9" s="35" t="s">
        <v>48</v>
      </c>
      <c r="B9" s="12">
        <v>111.51718743601261</v>
      </c>
      <c r="C9" s="12">
        <v>238.51968972243762</v>
      </c>
      <c r="D9" s="12">
        <v>99.951524299700409</v>
      </c>
      <c r="E9" s="12">
        <v>153.47927853851232</v>
      </c>
      <c r="F9" s="12">
        <v>80.698767155912847</v>
      </c>
      <c r="G9" s="12">
        <v>29.40716546651409</v>
      </c>
      <c r="H9" s="12">
        <v>168.04768516078886</v>
      </c>
      <c r="I9" s="12">
        <v>173.08635295269303</v>
      </c>
      <c r="J9" s="12">
        <v>90.456253860306674</v>
      </c>
      <c r="K9" s="12">
        <v>68.555971640813581</v>
      </c>
      <c r="L9" s="12">
        <v>132.89422150201125</v>
      </c>
    </row>
    <row r="10" spans="1:12" ht="15" customHeight="1" x14ac:dyDescent="0.2">
      <c r="A10" s="34" t="s">
        <v>49</v>
      </c>
      <c r="B10" s="120">
        <v>140.60783444210662</v>
      </c>
      <c r="C10" s="120">
        <v>282.77817059647083</v>
      </c>
      <c r="D10" s="120">
        <v>112.61376558404498</v>
      </c>
      <c r="E10" s="120">
        <v>183.17135324005241</v>
      </c>
      <c r="F10" s="120">
        <v>87.187217637198088</v>
      </c>
      <c r="G10" s="120">
        <v>29.251115734318972</v>
      </c>
      <c r="H10" s="120">
        <v>188.05280977754509</v>
      </c>
      <c r="I10" s="120">
        <v>188.39121008148902</v>
      </c>
      <c r="J10" s="120">
        <v>101.07737296511702</v>
      </c>
      <c r="K10" s="120">
        <v>111.44056878190965</v>
      </c>
      <c r="L10" s="120">
        <v>156.86937125111447</v>
      </c>
    </row>
    <row r="11" spans="1:12" ht="15" customHeight="1" x14ac:dyDescent="0.2">
      <c r="A11" s="35" t="s">
        <v>50</v>
      </c>
      <c r="B11" s="12">
        <v>144.60965376169057</v>
      </c>
      <c r="C11" s="12">
        <v>189.18730119164744</v>
      </c>
      <c r="D11" s="12">
        <v>106.5946791694427</v>
      </c>
      <c r="E11" s="12">
        <v>194.89049762012249</v>
      </c>
      <c r="F11" s="12">
        <v>76.610773259356435</v>
      </c>
      <c r="G11" s="12">
        <v>29.249179251247142</v>
      </c>
      <c r="H11" s="12">
        <v>193.45585698608724</v>
      </c>
      <c r="I11" s="12">
        <v>240.8834379627676</v>
      </c>
      <c r="J11" s="12">
        <v>93.10740649491818</v>
      </c>
      <c r="K11" s="12">
        <v>114.17434927595768</v>
      </c>
      <c r="L11" s="12">
        <v>163.00372463322228</v>
      </c>
    </row>
    <row r="12" spans="1:12" ht="15" customHeight="1" x14ac:dyDescent="0.2">
      <c r="A12" s="34" t="s">
        <v>51</v>
      </c>
      <c r="B12" s="120">
        <v>114.53544045780183</v>
      </c>
      <c r="C12" s="120">
        <v>176.90558814502279</v>
      </c>
      <c r="D12" s="120">
        <v>82.193856351811732</v>
      </c>
      <c r="E12" s="120">
        <v>200.71921633963561</v>
      </c>
      <c r="F12" s="120">
        <v>74.565257964353322</v>
      </c>
      <c r="G12" s="120">
        <v>24.484271008469147</v>
      </c>
      <c r="H12" s="120">
        <v>195.04216800055966</v>
      </c>
      <c r="I12" s="120">
        <v>258.45759924065146</v>
      </c>
      <c r="J12" s="120">
        <v>92.789600569751897</v>
      </c>
      <c r="K12" s="120">
        <v>97.096012583360775</v>
      </c>
      <c r="L12" s="120">
        <v>166.98145757393982</v>
      </c>
    </row>
    <row r="13" spans="1:12" ht="15" customHeight="1" x14ac:dyDescent="0.2">
      <c r="A13" s="35" t="s">
        <v>362</v>
      </c>
      <c r="B13" s="12">
        <v>122.62765632962781</v>
      </c>
      <c r="C13" s="12">
        <v>414.64809497326922</v>
      </c>
      <c r="D13" s="12">
        <v>97.98117081213303</v>
      </c>
      <c r="E13" s="12">
        <v>226.43499388329704</v>
      </c>
      <c r="F13" s="12">
        <v>76.13076885104168</v>
      </c>
      <c r="G13" s="12">
        <v>17.279266578101264</v>
      </c>
      <c r="H13" s="12">
        <v>214.3806577892808</v>
      </c>
      <c r="I13" s="12">
        <v>266.15945121887529</v>
      </c>
      <c r="J13" s="12">
        <v>95.786891276543159</v>
      </c>
      <c r="K13" s="12">
        <v>62.921755817528492</v>
      </c>
      <c r="L13" s="12">
        <v>185.85605520787439</v>
      </c>
    </row>
    <row r="14" spans="1:12" ht="15" customHeight="1" x14ac:dyDescent="0.2">
      <c r="A14" s="34" t="s">
        <v>337</v>
      </c>
      <c r="B14" s="120">
        <v>129.77570676999323</v>
      </c>
      <c r="C14" s="120">
        <v>439.31041656110978</v>
      </c>
      <c r="D14" s="120">
        <v>92.961852530806922</v>
      </c>
      <c r="E14" s="120">
        <v>243.72238988543651</v>
      </c>
      <c r="F14" s="120">
        <v>79.838411695414365</v>
      </c>
      <c r="G14" s="120">
        <v>17.895612539548814</v>
      </c>
      <c r="H14" s="120">
        <v>215.807869408795</v>
      </c>
      <c r="I14" s="120">
        <v>298.8996547507893</v>
      </c>
      <c r="J14" s="120">
        <v>97.046650336454306</v>
      </c>
      <c r="K14" s="120">
        <v>65.383218057785811</v>
      </c>
      <c r="L14" s="120">
        <v>198.40297199001279</v>
      </c>
    </row>
    <row r="15" spans="1:12" ht="15" customHeight="1" x14ac:dyDescent="0.2">
      <c r="A15" s="8"/>
      <c r="B15" s="114"/>
      <c r="C15" s="114"/>
      <c r="D15" s="114"/>
      <c r="E15" s="114"/>
      <c r="F15" s="114"/>
      <c r="G15" s="114"/>
      <c r="H15" s="114"/>
      <c r="I15" s="114"/>
      <c r="J15" s="114"/>
      <c r="K15" s="114"/>
      <c r="L15" s="120"/>
    </row>
    <row r="16" spans="1:12" ht="15" customHeight="1" x14ac:dyDescent="0.2">
      <c r="A16" s="9" t="s">
        <v>13</v>
      </c>
      <c r="B16" s="115">
        <v>130.97462807514327</v>
      </c>
      <c r="C16" s="115">
        <v>284.92153414924206</v>
      </c>
      <c r="D16" s="115">
        <v>98.910163326215482</v>
      </c>
      <c r="E16" s="115">
        <v>153.26986640853858</v>
      </c>
      <c r="F16" s="115">
        <v>72.598588773220428</v>
      </c>
      <c r="G16" s="115">
        <v>27.023759027860933</v>
      </c>
      <c r="H16" s="115">
        <v>137.14533747944995</v>
      </c>
      <c r="I16" s="115">
        <v>182.36027350680214</v>
      </c>
      <c r="J16" s="115">
        <v>80.082443534439832</v>
      </c>
      <c r="K16" s="115">
        <v>59.683118920780089</v>
      </c>
      <c r="L16" s="115">
        <v>129.98489163348913</v>
      </c>
    </row>
    <row r="17" spans="1:12" ht="15" customHeight="1" x14ac:dyDescent="0.2">
      <c r="A17" s="9" t="s">
        <v>14</v>
      </c>
      <c r="B17" s="115">
        <v>69.44676241829923</v>
      </c>
      <c r="C17" s="115">
        <v>168.73677246071568</v>
      </c>
      <c r="D17" s="115">
        <v>75.544754701036808</v>
      </c>
      <c r="E17" s="115">
        <v>103.72791232568675</v>
      </c>
      <c r="F17" s="115">
        <v>77.831613016153213</v>
      </c>
      <c r="G17" s="115">
        <v>24.545411201364971</v>
      </c>
      <c r="H17" s="115">
        <v>149.55107824201173</v>
      </c>
      <c r="I17" s="115">
        <v>143.48411326557519</v>
      </c>
      <c r="J17" s="115">
        <v>83.094897321509961</v>
      </c>
      <c r="K17" s="115">
        <v>51.871831041858201</v>
      </c>
      <c r="L17" s="115">
        <v>95.702370856451694</v>
      </c>
    </row>
    <row r="18" spans="1:12" ht="15" customHeight="1" x14ac:dyDescent="0.2">
      <c r="A18" s="9" t="s">
        <v>15</v>
      </c>
      <c r="B18" s="115">
        <v>133.7360750422101</v>
      </c>
      <c r="C18" s="115">
        <v>277.88821570206227</v>
      </c>
      <c r="D18" s="115">
        <v>123.62329438429545</v>
      </c>
      <c r="E18" s="115">
        <v>186.66947152416</v>
      </c>
      <c r="F18" s="115">
        <v>90.368336241478048</v>
      </c>
      <c r="G18" s="115">
        <v>28.81702628468642</v>
      </c>
      <c r="H18" s="115">
        <v>214.90315186815849</v>
      </c>
      <c r="I18" s="115">
        <v>187.19471230042339</v>
      </c>
      <c r="J18" s="115">
        <v>106.35253464747483</v>
      </c>
      <c r="K18" s="115">
        <v>66.892521144602711</v>
      </c>
      <c r="L18" s="115">
        <v>160.56737504460071</v>
      </c>
    </row>
    <row r="19" spans="1:12" ht="15" customHeight="1" x14ac:dyDescent="0.2">
      <c r="A19" s="9" t="s">
        <v>16</v>
      </c>
      <c r="B19" s="115">
        <v>111.91128420839782</v>
      </c>
      <c r="C19" s="115">
        <v>222.5322365777306</v>
      </c>
      <c r="D19" s="115">
        <v>101.72788478725387</v>
      </c>
      <c r="E19" s="115">
        <v>170.24986389566405</v>
      </c>
      <c r="F19" s="115">
        <v>81.996530592799687</v>
      </c>
      <c r="G19" s="115">
        <v>37.242465352144045</v>
      </c>
      <c r="H19" s="115">
        <v>170.59117305353519</v>
      </c>
      <c r="I19" s="115">
        <v>179.30631273797135</v>
      </c>
      <c r="J19" s="115">
        <v>92.295139937802105</v>
      </c>
      <c r="K19" s="115">
        <v>95.776415456013339</v>
      </c>
      <c r="L19" s="115">
        <v>145.32224847350341</v>
      </c>
    </row>
    <row r="20" spans="1:12" ht="15" customHeight="1" x14ac:dyDescent="0.2">
      <c r="A20" s="8" t="s">
        <v>17</v>
      </c>
      <c r="B20" s="114">
        <v>142.19541238951433</v>
      </c>
      <c r="C20" s="114">
        <v>149.57917564735416</v>
      </c>
      <c r="D20" s="114">
        <v>113.11926496136721</v>
      </c>
      <c r="E20" s="114">
        <v>169.10675966981975</v>
      </c>
      <c r="F20" s="114">
        <v>85.622606969192205</v>
      </c>
      <c r="G20" s="114">
        <v>37.11972320175736</v>
      </c>
      <c r="H20" s="114">
        <v>168.66683949097566</v>
      </c>
      <c r="I20" s="114">
        <v>165.50051020397555</v>
      </c>
      <c r="J20" s="114">
        <v>97.717328727037284</v>
      </c>
      <c r="K20" s="114">
        <v>125.34169021969541</v>
      </c>
      <c r="L20" s="114">
        <v>146.0820263827132</v>
      </c>
    </row>
    <row r="21" spans="1:12" ht="15" customHeight="1" x14ac:dyDescent="0.2">
      <c r="A21" s="8" t="s">
        <v>18</v>
      </c>
      <c r="B21" s="114">
        <v>132.57773078937473</v>
      </c>
      <c r="C21" s="114">
        <v>294.80532694945788</v>
      </c>
      <c r="D21" s="114">
        <v>99.831517586132236</v>
      </c>
      <c r="E21" s="114">
        <v>179.64828629521017</v>
      </c>
      <c r="F21" s="114">
        <v>81.624055460746874</v>
      </c>
      <c r="G21" s="114">
        <v>22.1501046124156</v>
      </c>
      <c r="H21" s="114">
        <v>177.34756047160496</v>
      </c>
      <c r="I21" s="114">
        <v>140.56058045032196</v>
      </c>
      <c r="J21" s="114">
        <v>90.320374451787131</v>
      </c>
      <c r="K21" s="114">
        <v>139.29710408183087</v>
      </c>
      <c r="L21" s="114">
        <v>151.55545623669863</v>
      </c>
    </row>
    <row r="22" spans="1:12" ht="15" customHeight="1" x14ac:dyDescent="0.2">
      <c r="A22" s="8" t="s">
        <v>19</v>
      </c>
      <c r="B22" s="114">
        <v>144.30788675373859</v>
      </c>
      <c r="C22" s="114">
        <v>415.16607959745284</v>
      </c>
      <c r="D22" s="114">
        <v>117.9430859962378</v>
      </c>
      <c r="E22" s="114">
        <v>190.68156649422806</v>
      </c>
      <c r="F22" s="114">
        <v>90.510638348260883</v>
      </c>
      <c r="G22" s="114">
        <v>33.235688769857646</v>
      </c>
      <c r="H22" s="114">
        <v>210.69819883901218</v>
      </c>
      <c r="I22" s="114">
        <v>222.09596630205002</v>
      </c>
      <c r="J22" s="114">
        <v>107.98262764044388</v>
      </c>
      <c r="K22" s="114">
        <v>87.17378813457448</v>
      </c>
      <c r="L22" s="114">
        <v>163.95884202120698</v>
      </c>
    </row>
    <row r="23" spans="1:12" ht="15" customHeight="1" x14ac:dyDescent="0.2">
      <c r="A23" s="8" t="s">
        <v>20</v>
      </c>
      <c r="B23" s="114">
        <v>143.35030783579876</v>
      </c>
      <c r="C23" s="114">
        <v>271.56210019161864</v>
      </c>
      <c r="D23" s="114">
        <v>119.56119379244274</v>
      </c>
      <c r="E23" s="114">
        <v>193.24880050095169</v>
      </c>
      <c r="F23" s="114">
        <v>90.991569770592335</v>
      </c>
      <c r="G23" s="114">
        <v>24.498946353245287</v>
      </c>
      <c r="H23" s="114">
        <v>195.49864030858757</v>
      </c>
      <c r="I23" s="114">
        <v>225.40778336960861</v>
      </c>
      <c r="J23" s="114">
        <v>108.28916104119973</v>
      </c>
      <c r="K23" s="114">
        <v>93.949692691537919</v>
      </c>
      <c r="L23" s="114">
        <v>165.88116036383914</v>
      </c>
    </row>
    <row r="24" spans="1:12" ht="15" customHeight="1" x14ac:dyDescent="0.2">
      <c r="A24" s="9" t="s">
        <v>21</v>
      </c>
      <c r="B24" s="115">
        <v>153.35800708731384</v>
      </c>
      <c r="C24" s="115">
        <v>203.91514353460175</v>
      </c>
      <c r="D24" s="115">
        <v>112.53154531982547</v>
      </c>
      <c r="E24" s="115">
        <v>188.95622435893938</v>
      </c>
      <c r="F24" s="115">
        <v>77.728520356234867</v>
      </c>
      <c r="G24" s="115">
        <v>41.284221869639296</v>
      </c>
      <c r="H24" s="115">
        <v>191.61160216317703</v>
      </c>
      <c r="I24" s="115">
        <v>212.37372699614664</v>
      </c>
      <c r="J24" s="115">
        <v>93.380991703836855</v>
      </c>
      <c r="K24" s="115">
        <v>94.472440633350402</v>
      </c>
      <c r="L24" s="115">
        <v>158.80121332663364</v>
      </c>
    </row>
    <row r="25" spans="1:12" ht="15" customHeight="1" x14ac:dyDescent="0.2">
      <c r="A25" s="9" t="s">
        <v>22</v>
      </c>
      <c r="B25" s="115">
        <v>147.01455755296607</v>
      </c>
      <c r="C25" s="115">
        <v>205.93810686128037</v>
      </c>
      <c r="D25" s="115">
        <v>102.33096941525916</v>
      </c>
      <c r="E25" s="115">
        <v>208.48526950913129</v>
      </c>
      <c r="F25" s="115">
        <v>75.638322076980486</v>
      </c>
      <c r="G25" s="115">
        <v>23.914316435324341</v>
      </c>
      <c r="H25" s="115">
        <v>205.19737363764932</v>
      </c>
      <c r="I25" s="115">
        <v>249.70892516557379</v>
      </c>
      <c r="J25" s="115">
        <v>92.33871966804891</v>
      </c>
      <c r="K25" s="115">
        <v>91.79477878600288</v>
      </c>
      <c r="L25" s="115">
        <v>172.34439121164488</v>
      </c>
    </row>
    <row r="26" spans="1:12" ht="15" customHeight="1" x14ac:dyDescent="0.2">
      <c r="A26" s="9" t="s">
        <v>23</v>
      </c>
      <c r="B26" s="115">
        <v>151.15630744436945</v>
      </c>
      <c r="C26" s="115">
        <v>147.89353908791074</v>
      </c>
      <c r="D26" s="115">
        <v>112.52000123020052</v>
      </c>
      <c r="E26" s="115">
        <v>186.94622899443198</v>
      </c>
      <c r="F26" s="115">
        <v>82.240765578227069</v>
      </c>
      <c r="G26" s="115">
        <v>22.182122590433199</v>
      </c>
      <c r="H26" s="115">
        <v>199.30855056323142</v>
      </c>
      <c r="I26" s="115">
        <v>273.82028466070523</v>
      </c>
      <c r="J26" s="115">
        <v>98.581919490493647</v>
      </c>
      <c r="K26" s="115">
        <v>79.575514684546789</v>
      </c>
      <c r="L26" s="115">
        <v>158.73842892245668</v>
      </c>
    </row>
    <row r="27" spans="1:12" ht="15" customHeight="1" x14ac:dyDescent="0.2">
      <c r="A27" s="9" t="s">
        <v>24</v>
      </c>
      <c r="B27" s="115">
        <v>126.909742962113</v>
      </c>
      <c r="C27" s="115">
        <v>199.00241528279693</v>
      </c>
      <c r="D27" s="115">
        <v>98.996200712485575</v>
      </c>
      <c r="E27" s="115">
        <v>195.1742676179872</v>
      </c>
      <c r="F27" s="115">
        <v>70.835485025983317</v>
      </c>
      <c r="G27" s="115">
        <v>29.616056109591749</v>
      </c>
      <c r="H27" s="115">
        <v>177.70590158029111</v>
      </c>
      <c r="I27" s="115">
        <v>227.63081502864452</v>
      </c>
      <c r="J27" s="115">
        <v>88.127995117293324</v>
      </c>
      <c r="K27" s="115">
        <v>190.8546629999307</v>
      </c>
      <c r="L27" s="115">
        <v>162.13086507215385</v>
      </c>
    </row>
    <row r="28" spans="1:12" ht="15" customHeight="1" x14ac:dyDescent="0.2">
      <c r="A28" s="8" t="s">
        <v>25</v>
      </c>
      <c r="B28" s="114">
        <v>120.47555778585961</v>
      </c>
      <c r="C28" s="114">
        <v>151.31221396941663</v>
      </c>
      <c r="D28" s="114">
        <v>87.538386340956478</v>
      </c>
      <c r="E28" s="114">
        <v>194.57650457466366</v>
      </c>
      <c r="F28" s="114">
        <v>67.329099090666276</v>
      </c>
      <c r="G28" s="114">
        <v>41.62287080018978</v>
      </c>
      <c r="H28" s="114">
        <v>173.48870761683017</v>
      </c>
      <c r="I28" s="114">
        <v>175.68022017417783</v>
      </c>
      <c r="J28" s="114">
        <v>85.365012233195785</v>
      </c>
      <c r="K28" s="114">
        <v>95.02616401720384</v>
      </c>
      <c r="L28" s="114">
        <v>160.64093105190923</v>
      </c>
    </row>
    <row r="29" spans="1:12" ht="15" customHeight="1" x14ac:dyDescent="0.2">
      <c r="A29" s="8" t="s">
        <v>26</v>
      </c>
      <c r="B29" s="114">
        <v>108.09036529670516</v>
      </c>
      <c r="C29" s="114">
        <v>141.86932388313039</v>
      </c>
      <c r="D29" s="114">
        <v>73.716506226899313</v>
      </c>
      <c r="E29" s="114">
        <v>210.06205561358209</v>
      </c>
      <c r="F29" s="114">
        <v>71.54855620194229</v>
      </c>
      <c r="G29" s="114">
        <v>22.862189033128868</v>
      </c>
      <c r="H29" s="114">
        <v>189.18705763602341</v>
      </c>
      <c r="I29" s="114">
        <v>276.08726836240515</v>
      </c>
      <c r="J29" s="114">
        <v>88.061970106364171</v>
      </c>
      <c r="K29" s="114">
        <v>50.106128092558329</v>
      </c>
      <c r="L29" s="114">
        <v>172.21030963248492</v>
      </c>
    </row>
    <row r="30" spans="1:12" ht="15" customHeight="1" x14ac:dyDescent="0.2">
      <c r="A30" s="8" t="s">
        <v>27</v>
      </c>
      <c r="B30" s="114">
        <v>110.3488999464231</v>
      </c>
      <c r="C30" s="114">
        <v>172.7668325147371</v>
      </c>
      <c r="D30" s="114">
        <v>81.661628830223989</v>
      </c>
      <c r="E30" s="114">
        <v>211.28486498440009</v>
      </c>
      <c r="F30" s="114">
        <v>84.353995875378288</v>
      </c>
      <c r="G30" s="114">
        <v>19.769560106784017</v>
      </c>
      <c r="H30" s="114">
        <v>227.4919021296032</v>
      </c>
      <c r="I30" s="114">
        <v>337.33662517346096</v>
      </c>
      <c r="J30" s="114">
        <v>103.81704889734101</v>
      </c>
      <c r="K30" s="114">
        <v>73.60121625451184</v>
      </c>
      <c r="L30" s="114">
        <v>177.31317412218485</v>
      </c>
    </row>
    <row r="31" spans="1:12" ht="15" customHeight="1" x14ac:dyDescent="0.2">
      <c r="A31" s="8" t="s">
        <v>28</v>
      </c>
      <c r="B31" s="114">
        <v>119.22693880221942</v>
      </c>
      <c r="C31" s="114">
        <v>241.67398221280715</v>
      </c>
      <c r="D31" s="114">
        <v>85.858904009167148</v>
      </c>
      <c r="E31" s="114">
        <v>186.95344018589671</v>
      </c>
      <c r="F31" s="114">
        <v>75.029380689426475</v>
      </c>
      <c r="G31" s="114">
        <v>13.682464093773923</v>
      </c>
      <c r="H31" s="114">
        <v>190.00100461978195</v>
      </c>
      <c r="I31" s="114">
        <v>244.72628325256198</v>
      </c>
      <c r="J31" s="114">
        <v>93.914371042106666</v>
      </c>
      <c r="K31" s="114">
        <v>169.6505419691691</v>
      </c>
      <c r="L31" s="114">
        <v>157.76141548918017</v>
      </c>
    </row>
    <row r="32" spans="1:12" ht="15" customHeight="1" x14ac:dyDescent="0.2">
      <c r="A32" s="9" t="s">
        <v>369</v>
      </c>
      <c r="B32" s="115">
        <v>126.95655785890972</v>
      </c>
      <c r="C32" s="115">
        <v>447.05611902979325</v>
      </c>
      <c r="D32" s="115">
        <v>103.87120527060063</v>
      </c>
      <c r="E32" s="115">
        <v>226.40571062711999</v>
      </c>
      <c r="F32" s="115">
        <v>77.321428504414698</v>
      </c>
      <c r="G32" s="115">
        <v>19.018995421004046</v>
      </c>
      <c r="H32" s="115">
        <v>217.61356534817367</v>
      </c>
      <c r="I32" s="115">
        <v>275.95205838690487</v>
      </c>
      <c r="J32" s="115">
        <v>93.807287370197329</v>
      </c>
      <c r="K32" s="115">
        <v>63.380660509021936</v>
      </c>
      <c r="L32" s="115">
        <v>185.31925731098156</v>
      </c>
    </row>
    <row r="33" spans="1:12" ht="15" customHeight="1" x14ac:dyDescent="0.2">
      <c r="A33" s="9" t="s">
        <v>370</v>
      </c>
      <c r="B33" s="115">
        <v>113.98198947041455</v>
      </c>
      <c r="C33" s="115">
        <v>348.49867353593822</v>
      </c>
      <c r="D33" s="115">
        <v>87.819733004966295</v>
      </c>
      <c r="E33" s="115">
        <v>217.4219874046471</v>
      </c>
      <c r="F33" s="115">
        <v>70.087894273591559</v>
      </c>
      <c r="G33" s="115">
        <v>14.263587287512953</v>
      </c>
      <c r="H33" s="115">
        <v>202.10947850220134</v>
      </c>
      <c r="I33" s="115">
        <v>276.68094963810375</v>
      </c>
      <c r="J33" s="115">
        <v>89.457092225277094</v>
      </c>
      <c r="K33" s="115">
        <v>59.353792807430487</v>
      </c>
      <c r="L33" s="115">
        <v>177.79355207497397</v>
      </c>
    </row>
    <row r="34" spans="1:12" ht="15" customHeight="1" x14ac:dyDescent="0.2">
      <c r="A34" s="9" t="s">
        <v>371</v>
      </c>
      <c r="B34" s="115">
        <v>127.55474691505758</v>
      </c>
      <c r="C34" s="115">
        <v>372.97338797535417</v>
      </c>
      <c r="D34" s="115">
        <v>100.36232692698614</v>
      </c>
      <c r="E34" s="115">
        <v>239.00142021158695</v>
      </c>
      <c r="F34" s="115">
        <v>78.262910243358718</v>
      </c>
      <c r="G34" s="115">
        <v>19.295863942869634</v>
      </c>
      <c r="H34" s="115">
        <v>234.68737371712919</v>
      </c>
      <c r="I34" s="115">
        <v>244.01169536582552</v>
      </c>
      <c r="J34" s="115">
        <v>101.90943750842844</v>
      </c>
      <c r="K34" s="115">
        <v>61.931476826087071</v>
      </c>
      <c r="L34" s="115">
        <v>196.35177903929244</v>
      </c>
    </row>
    <row r="35" spans="1:12" ht="15" customHeight="1" x14ac:dyDescent="0.2">
      <c r="A35" s="9" t="s">
        <v>372</v>
      </c>
      <c r="B35" s="115">
        <v>122.01733107412934</v>
      </c>
      <c r="C35" s="115">
        <v>490.06419935199142</v>
      </c>
      <c r="D35" s="115">
        <v>99.871418045979155</v>
      </c>
      <c r="E35" s="115">
        <v>222.9108572898341</v>
      </c>
      <c r="F35" s="115">
        <v>78.850842382801773</v>
      </c>
      <c r="G35" s="115">
        <v>16.538619661018419</v>
      </c>
      <c r="H35" s="115">
        <v>203.11221358961902</v>
      </c>
      <c r="I35" s="115">
        <v>267.99310148466708</v>
      </c>
      <c r="J35" s="115">
        <v>97.973748002269829</v>
      </c>
      <c r="K35" s="115">
        <v>67.021093127574503</v>
      </c>
      <c r="L35" s="115">
        <v>183.95963240624943</v>
      </c>
    </row>
    <row r="36" spans="1:12" ht="15" customHeight="1" x14ac:dyDescent="0.2">
      <c r="A36" s="8" t="s">
        <v>246</v>
      </c>
      <c r="B36" s="114">
        <v>142.13908998104003</v>
      </c>
      <c r="C36" s="114">
        <v>461.06555006931967</v>
      </c>
      <c r="D36" s="114">
        <v>102.65554858867499</v>
      </c>
      <c r="E36" s="114">
        <v>241.97763068508399</v>
      </c>
      <c r="F36" s="114">
        <v>78.47881310204292</v>
      </c>
      <c r="G36" s="114">
        <v>20.97206129236044</v>
      </c>
      <c r="H36" s="114">
        <v>187.47980238754107</v>
      </c>
      <c r="I36" s="114">
        <v>242.56980146414958</v>
      </c>
      <c r="J36" s="114">
        <v>90.818453711858595</v>
      </c>
      <c r="K36" s="114">
        <v>49.770825518826449</v>
      </c>
      <c r="L36" s="114">
        <v>195.45601774088598</v>
      </c>
    </row>
    <row r="37" spans="1:12" ht="15" customHeight="1" x14ac:dyDescent="0.2">
      <c r="A37" s="8" t="s">
        <v>247</v>
      </c>
      <c r="B37" s="114">
        <v>122.45601351697519</v>
      </c>
      <c r="C37" s="114">
        <v>342.53964775074337</v>
      </c>
      <c r="D37" s="114">
        <v>82.50405652787272</v>
      </c>
      <c r="E37" s="114">
        <v>232.90364341149328</v>
      </c>
      <c r="F37" s="114">
        <v>78.481703015969472</v>
      </c>
      <c r="G37" s="114">
        <v>12.844918817374719</v>
      </c>
      <c r="H37" s="114">
        <v>200.4013213002506</v>
      </c>
      <c r="I37" s="114">
        <v>323.80937862073989</v>
      </c>
      <c r="J37" s="114">
        <v>92.311810994741222</v>
      </c>
      <c r="K37" s="114">
        <v>45.647193908269664</v>
      </c>
      <c r="L37" s="114">
        <v>189.42774664355011</v>
      </c>
    </row>
    <row r="38" spans="1:12" ht="15" customHeight="1" x14ac:dyDescent="0.2">
      <c r="A38" s="8" t="s">
        <v>339</v>
      </c>
      <c r="B38" s="114">
        <v>131.96817840237779</v>
      </c>
      <c r="C38" s="114">
        <v>415.15279558819066</v>
      </c>
      <c r="D38" s="114">
        <v>97.794790117735374</v>
      </c>
      <c r="E38" s="114">
        <v>265.57396401030314</v>
      </c>
      <c r="F38" s="114">
        <v>88.577744077678702</v>
      </c>
      <c r="G38" s="114">
        <v>20.308572675920985</v>
      </c>
      <c r="H38" s="114">
        <v>261.12302019176735</v>
      </c>
      <c r="I38" s="114">
        <v>356.68479922481703</v>
      </c>
      <c r="J38" s="114">
        <v>111.2164700096145</v>
      </c>
      <c r="K38" s="114">
        <v>78.824836667178758</v>
      </c>
      <c r="L38" s="114">
        <v>217.6901187196851</v>
      </c>
    </row>
    <row r="39" spans="1:12" ht="15" customHeight="1" x14ac:dyDescent="0.2">
      <c r="A39" s="8" t="s">
        <v>340</v>
      </c>
      <c r="B39" s="114">
        <v>122.53954517957997</v>
      </c>
      <c r="C39" s="114">
        <v>538.48367283618529</v>
      </c>
      <c r="D39" s="114">
        <v>88.893014888944549</v>
      </c>
      <c r="E39" s="114">
        <v>234.43432143486567</v>
      </c>
      <c r="F39" s="114">
        <v>73.815386585966323</v>
      </c>
      <c r="G39" s="114">
        <v>17.456897372539121</v>
      </c>
      <c r="H39" s="114">
        <v>214.22733375562089</v>
      </c>
      <c r="I39" s="114">
        <v>272.53463969345063</v>
      </c>
      <c r="J39" s="114">
        <v>93.839866629602852</v>
      </c>
      <c r="K39" s="114">
        <v>87.29001613686836</v>
      </c>
      <c r="L39" s="114">
        <v>191.03800485592978</v>
      </c>
    </row>
    <row r="40" spans="1:12" ht="15" customHeight="1" x14ac:dyDescent="0.2">
      <c r="A40" s="9" t="s">
        <v>384</v>
      </c>
      <c r="B40" s="115">
        <v>130.21260635526639</v>
      </c>
      <c r="C40" s="115">
        <v>517.82798817261892</v>
      </c>
      <c r="D40" s="115">
        <v>96.218707590728783</v>
      </c>
      <c r="E40" s="115">
        <v>257.7847256535926</v>
      </c>
      <c r="F40" s="115">
        <v>75.519762955262252</v>
      </c>
      <c r="G40" s="115">
        <v>21.632465898268379</v>
      </c>
      <c r="H40" s="115">
        <v>215.43035930544934</v>
      </c>
      <c r="I40" s="115">
        <v>201.35593930606433</v>
      </c>
      <c r="J40" s="115">
        <v>90.835816112308464</v>
      </c>
      <c r="K40" s="115">
        <v>96.276873600058607</v>
      </c>
      <c r="L40" s="115">
        <v>206.73865067200973</v>
      </c>
    </row>
    <row r="41" spans="1:12" ht="15" customHeight="1" x14ac:dyDescent="0.2">
      <c r="A41" s="8"/>
      <c r="B41" s="120"/>
      <c r="C41" s="120"/>
      <c r="D41" s="120"/>
      <c r="E41" s="120"/>
      <c r="F41" s="120"/>
      <c r="G41" s="120"/>
      <c r="H41" s="120"/>
      <c r="I41" s="120"/>
      <c r="J41" s="120"/>
      <c r="K41" s="120"/>
      <c r="L41" s="120"/>
    </row>
    <row r="42" spans="1:12" ht="15" customHeight="1" x14ac:dyDescent="0.2">
      <c r="A42" s="10">
        <v>43831</v>
      </c>
      <c r="B42" s="12">
        <v>147.61152651442816</v>
      </c>
      <c r="C42" s="12">
        <v>399.7350758859136</v>
      </c>
      <c r="D42" s="12">
        <v>107.96363740085575</v>
      </c>
      <c r="E42" s="12">
        <v>177.75681945448952</v>
      </c>
      <c r="F42" s="12">
        <v>80.59843619143308</v>
      </c>
      <c r="G42" s="12">
        <v>29.740033611077259</v>
      </c>
      <c r="H42" s="12">
        <v>145.22822599998312</v>
      </c>
      <c r="I42" s="12">
        <v>225.16212711795703</v>
      </c>
      <c r="J42" s="12">
        <v>90.294486776326607</v>
      </c>
      <c r="K42" s="12">
        <v>73.816319215620908</v>
      </c>
      <c r="L42" s="12">
        <v>150.0960903488695</v>
      </c>
    </row>
    <row r="43" spans="1:12" ht="15" customHeight="1" x14ac:dyDescent="0.2">
      <c r="A43" s="10">
        <v>43862</v>
      </c>
      <c r="B43" s="12">
        <v>142.49955610481936</v>
      </c>
      <c r="C43" s="12">
        <v>245.23288556883929</v>
      </c>
      <c r="D43" s="12">
        <v>107.75944413261671</v>
      </c>
      <c r="E43" s="12">
        <v>152.31436842787338</v>
      </c>
      <c r="F43" s="12">
        <v>86.198847545624062</v>
      </c>
      <c r="G43" s="12">
        <v>36.141126781650179</v>
      </c>
      <c r="H43" s="12">
        <v>152.02517528708717</v>
      </c>
      <c r="I43" s="12">
        <v>188.67993757903614</v>
      </c>
      <c r="J43" s="12">
        <v>91.961240832561529</v>
      </c>
      <c r="K43" s="12">
        <v>70.028137054450639</v>
      </c>
      <c r="L43" s="12">
        <v>132.49498492117627</v>
      </c>
    </row>
    <row r="44" spans="1:12" ht="15" customHeight="1" x14ac:dyDescent="0.2">
      <c r="A44" s="10">
        <v>43891</v>
      </c>
      <c r="B44" s="12">
        <v>102.81280160618228</v>
      </c>
      <c r="C44" s="12">
        <v>209.79664099297324</v>
      </c>
      <c r="D44" s="12">
        <v>81.007408445174022</v>
      </c>
      <c r="E44" s="12">
        <v>129.73841134325284</v>
      </c>
      <c r="F44" s="12">
        <v>50.998482582604147</v>
      </c>
      <c r="G44" s="12">
        <v>15.190116690855369</v>
      </c>
      <c r="H44" s="12">
        <v>114.18261115127956</v>
      </c>
      <c r="I44" s="12">
        <v>133.23875582341327</v>
      </c>
      <c r="J44" s="12">
        <v>57.991602994431346</v>
      </c>
      <c r="K44" s="12">
        <v>35.20490049226872</v>
      </c>
      <c r="L44" s="12">
        <v>107.36359963042169</v>
      </c>
    </row>
    <row r="45" spans="1:12" ht="15" customHeight="1" x14ac:dyDescent="0.2">
      <c r="A45" s="10">
        <v>43922</v>
      </c>
      <c r="B45" s="12">
        <v>21.068796516030588</v>
      </c>
      <c r="C45" s="12">
        <v>146.40063224555811</v>
      </c>
      <c r="D45" s="12">
        <v>41.455378750970681</v>
      </c>
      <c r="E45" s="12">
        <v>54.600129223980034</v>
      </c>
      <c r="F45" s="12">
        <v>64.970845214524189</v>
      </c>
      <c r="G45" s="12">
        <v>15.535365240051542</v>
      </c>
      <c r="H45" s="12">
        <v>75.478300008873546</v>
      </c>
      <c r="I45" s="12">
        <v>80.514125604589907</v>
      </c>
      <c r="J45" s="12">
        <v>58.885731943358415</v>
      </c>
      <c r="K45" s="12">
        <v>30.889359810787038</v>
      </c>
      <c r="L45" s="12">
        <v>54.439371639848432</v>
      </c>
    </row>
    <row r="46" spans="1:12" ht="15" customHeight="1" x14ac:dyDescent="0.2">
      <c r="A46" s="10">
        <v>43952</v>
      </c>
      <c r="B46" s="12">
        <v>68.989710608024836</v>
      </c>
      <c r="C46" s="12">
        <v>85.873507346636302</v>
      </c>
      <c r="D46" s="12">
        <v>80.337790576233644</v>
      </c>
      <c r="E46" s="12">
        <v>93.039390012958336</v>
      </c>
      <c r="F46" s="12">
        <v>81.825077884591551</v>
      </c>
      <c r="G46" s="12">
        <v>22.210651168203164</v>
      </c>
      <c r="H46" s="12">
        <v>166.42316382935348</v>
      </c>
      <c r="I46" s="12">
        <v>147.00853313985351</v>
      </c>
      <c r="J46" s="12">
        <v>85.512662048535276</v>
      </c>
      <c r="K46" s="12">
        <v>70.077731198663372</v>
      </c>
      <c r="L46" s="12">
        <v>88.835065946135117</v>
      </c>
    </row>
    <row r="47" spans="1:12" ht="15" customHeight="1" x14ac:dyDescent="0.2">
      <c r="A47" s="10">
        <v>43983</v>
      </c>
      <c r="B47" s="12">
        <v>118.28178013084229</v>
      </c>
      <c r="C47" s="12">
        <v>273.93617778995264</v>
      </c>
      <c r="D47" s="12">
        <v>104.84109477590607</v>
      </c>
      <c r="E47" s="12">
        <v>163.54421774012181</v>
      </c>
      <c r="F47" s="12">
        <v>86.698915949343899</v>
      </c>
      <c r="G47" s="12">
        <v>35.890217195840201</v>
      </c>
      <c r="H47" s="12">
        <v>206.75177088780816</v>
      </c>
      <c r="I47" s="12">
        <v>202.92968105228221</v>
      </c>
      <c r="J47" s="12">
        <v>104.88629797263619</v>
      </c>
      <c r="K47" s="12">
        <v>54.648402116124188</v>
      </c>
      <c r="L47" s="12">
        <v>143.83267498337156</v>
      </c>
    </row>
    <row r="48" spans="1:12" ht="15" customHeight="1" x14ac:dyDescent="0.2">
      <c r="A48" s="10">
        <v>44013</v>
      </c>
      <c r="B48" s="12">
        <v>146.33101625525913</v>
      </c>
      <c r="C48" s="12">
        <v>383.24963379732054</v>
      </c>
      <c r="D48" s="12">
        <v>139.02481674057796</v>
      </c>
      <c r="E48" s="12">
        <v>194.08492810993093</v>
      </c>
      <c r="F48" s="12">
        <v>102.58045769368907</v>
      </c>
      <c r="G48" s="12">
        <v>43.528679406636627</v>
      </c>
      <c r="H48" s="12">
        <v>247.19858083839699</v>
      </c>
      <c r="I48" s="12">
        <v>225.27105259386502</v>
      </c>
      <c r="J48" s="12">
        <v>122.6038559854068</v>
      </c>
      <c r="K48" s="12">
        <v>85.330234212032238</v>
      </c>
      <c r="L48" s="12">
        <v>170.22013005670115</v>
      </c>
    </row>
    <row r="49" spans="1:12" ht="15" customHeight="1" x14ac:dyDescent="0.2">
      <c r="A49" s="10">
        <v>44044</v>
      </c>
      <c r="B49" s="12">
        <v>125.47748922649581</v>
      </c>
      <c r="C49" s="12">
        <v>149.46008837327352</v>
      </c>
      <c r="D49" s="12">
        <v>111.00005085150333</v>
      </c>
      <c r="E49" s="12">
        <v>174.75919703677582</v>
      </c>
      <c r="F49" s="12">
        <v>80.452517925632222</v>
      </c>
      <c r="G49" s="12">
        <v>19.422320517410707</v>
      </c>
      <c r="H49" s="12">
        <v>199.14086137572343</v>
      </c>
      <c r="I49" s="12">
        <v>165.81040226036683</v>
      </c>
      <c r="J49" s="12">
        <v>98.081977533077648</v>
      </c>
      <c r="K49" s="12">
        <v>54.543610274781415</v>
      </c>
      <c r="L49" s="12">
        <v>149.89094745723398</v>
      </c>
    </row>
    <row r="50" spans="1:12" ht="15" customHeight="1" x14ac:dyDescent="0.2">
      <c r="A50" s="10">
        <v>44075</v>
      </c>
      <c r="B50" s="12">
        <v>129.39971964487532</v>
      </c>
      <c r="C50" s="12">
        <v>300.95492493559277</v>
      </c>
      <c r="D50" s="12">
        <v>120.84501556080505</v>
      </c>
      <c r="E50" s="12">
        <v>191.16428942577321</v>
      </c>
      <c r="F50" s="12">
        <v>88.072033105112865</v>
      </c>
      <c r="G50" s="12">
        <v>23.500078930011917</v>
      </c>
      <c r="H50" s="12">
        <v>198.37001339035507</v>
      </c>
      <c r="I50" s="12">
        <v>170.50268204703829</v>
      </c>
      <c r="J50" s="12">
        <v>98.371770423940006</v>
      </c>
      <c r="K50" s="12">
        <v>60.803718946994465</v>
      </c>
      <c r="L50" s="12">
        <v>161.59104761986703</v>
      </c>
    </row>
    <row r="51" spans="1:12" ht="15" customHeight="1" x14ac:dyDescent="0.2">
      <c r="A51" s="10">
        <v>44105</v>
      </c>
      <c r="B51" s="12">
        <v>112.31830410781541</v>
      </c>
      <c r="C51" s="12">
        <v>172.39975236483781</v>
      </c>
      <c r="D51" s="12">
        <v>112.0970184440292</v>
      </c>
      <c r="E51" s="12">
        <v>163.55935009324185</v>
      </c>
      <c r="F51" s="12">
        <v>84.409559768466636</v>
      </c>
      <c r="G51" s="12">
        <v>30.414143519255923</v>
      </c>
      <c r="H51" s="12">
        <v>190.01738827555735</v>
      </c>
      <c r="I51" s="12">
        <v>173.67289356242367</v>
      </c>
      <c r="J51" s="12">
        <v>95.733861588401865</v>
      </c>
      <c r="K51" s="12">
        <v>69.58904708781246</v>
      </c>
      <c r="L51" s="12">
        <v>141.45848439248783</v>
      </c>
    </row>
    <row r="52" spans="1:12" ht="15" customHeight="1" x14ac:dyDescent="0.2">
      <c r="A52" s="10">
        <v>44136</v>
      </c>
      <c r="B52" s="12">
        <v>96.197542597065521</v>
      </c>
      <c r="C52" s="12">
        <v>186.91953112120265</v>
      </c>
      <c r="D52" s="12">
        <v>87.088003640029555</v>
      </c>
      <c r="E52" s="12">
        <v>146.41576949251916</v>
      </c>
      <c r="F52" s="12">
        <v>74.06024976858005</v>
      </c>
      <c r="G52" s="12">
        <v>37.50737464048288</v>
      </c>
      <c r="H52" s="12">
        <v>169.58788337817865</v>
      </c>
      <c r="I52" s="12">
        <v>188.26465781646948</v>
      </c>
      <c r="J52" s="12">
        <v>87.255177424661355</v>
      </c>
      <c r="K52" s="12">
        <v>67.502758091163258</v>
      </c>
      <c r="L52" s="12">
        <v>127.05800986340364</v>
      </c>
    </row>
    <row r="53" spans="1:12" ht="15" customHeight="1" x14ac:dyDescent="0.2">
      <c r="A53" s="10">
        <v>44166</v>
      </c>
      <c r="B53" s="12">
        <v>127.21800592031255</v>
      </c>
      <c r="C53" s="12">
        <v>308.27742624715137</v>
      </c>
      <c r="D53" s="12">
        <v>105.99863227770287</v>
      </c>
      <c r="E53" s="12">
        <v>200.77447210123111</v>
      </c>
      <c r="F53" s="12">
        <v>87.519782241352374</v>
      </c>
      <c r="G53" s="12">
        <v>43.805877896693325</v>
      </c>
      <c r="H53" s="12">
        <v>152.16824750686959</v>
      </c>
      <c r="I53" s="12">
        <v>175.98138683502091</v>
      </c>
      <c r="J53" s="12">
        <v>93.896380800343067</v>
      </c>
      <c r="K53" s="12">
        <v>150.2374411890643</v>
      </c>
      <c r="L53" s="12">
        <v>167.45025116461875</v>
      </c>
    </row>
    <row r="54" spans="1:12" ht="15" customHeight="1" x14ac:dyDescent="0.2">
      <c r="A54" s="11">
        <v>44197</v>
      </c>
      <c r="B54" s="120">
        <v>129.12705987096436</v>
      </c>
      <c r="C54" s="120">
        <v>192.79824106986254</v>
      </c>
      <c r="D54" s="120">
        <v>106.69383483606414</v>
      </c>
      <c r="E54" s="120">
        <v>163.84378136029713</v>
      </c>
      <c r="F54" s="120">
        <v>76.198278905386402</v>
      </c>
      <c r="G54" s="120">
        <v>37.652539952457005</v>
      </c>
      <c r="H54" s="120">
        <v>135.84583697907232</v>
      </c>
      <c r="I54" s="120">
        <v>159.51564116237665</v>
      </c>
      <c r="J54" s="120">
        <v>87.714445165480512</v>
      </c>
      <c r="K54" s="120">
        <v>110.58654936507305</v>
      </c>
      <c r="L54" s="120">
        <v>139.62681151027479</v>
      </c>
    </row>
    <row r="55" spans="1:12" ht="15" customHeight="1" x14ac:dyDescent="0.2">
      <c r="A55" s="11">
        <v>44228</v>
      </c>
      <c r="B55" s="120">
        <v>143.78572118145695</v>
      </c>
      <c r="C55" s="120">
        <v>117.99904725566391</v>
      </c>
      <c r="D55" s="120">
        <v>109.22248522914828</v>
      </c>
      <c r="E55" s="120">
        <v>149.70888744790628</v>
      </c>
      <c r="F55" s="120">
        <v>84.881341007700797</v>
      </c>
      <c r="G55" s="120">
        <v>25.187201351395718</v>
      </c>
      <c r="H55" s="120">
        <v>172.04777451397106</v>
      </c>
      <c r="I55" s="120">
        <v>137.35635082626274</v>
      </c>
      <c r="J55" s="120">
        <v>91.774185673764109</v>
      </c>
      <c r="K55" s="120">
        <v>116.40153717820868</v>
      </c>
      <c r="L55" s="120">
        <v>130.72450979843342</v>
      </c>
    </row>
    <row r="56" spans="1:12" ht="15" customHeight="1" x14ac:dyDescent="0.2">
      <c r="A56" s="11">
        <v>44256</v>
      </c>
      <c r="B56" s="120">
        <v>153.67345611612168</v>
      </c>
      <c r="C56" s="120">
        <v>137.94023861653605</v>
      </c>
      <c r="D56" s="120">
        <v>123.44147481888922</v>
      </c>
      <c r="E56" s="120">
        <v>193.76761020125579</v>
      </c>
      <c r="F56" s="120">
        <v>95.788200994489458</v>
      </c>
      <c r="G56" s="120">
        <v>48.51942830141936</v>
      </c>
      <c r="H56" s="120">
        <v>198.10690697988352</v>
      </c>
      <c r="I56" s="120">
        <v>199.62953862328726</v>
      </c>
      <c r="J56" s="120">
        <v>113.66335534186723</v>
      </c>
      <c r="K56" s="120">
        <v>149.0369841158045</v>
      </c>
      <c r="L56" s="120">
        <v>167.89475783943141</v>
      </c>
    </row>
    <row r="57" spans="1:12" ht="15" customHeight="1" x14ac:dyDescent="0.2">
      <c r="A57" s="11">
        <v>44287</v>
      </c>
      <c r="B57" s="120">
        <v>115.13089148568723</v>
      </c>
      <c r="C57" s="120">
        <v>173.79029813548132</v>
      </c>
      <c r="D57" s="120">
        <v>76.91942901028645</v>
      </c>
      <c r="E57" s="120">
        <v>188.75147896522023</v>
      </c>
      <c r="F57" s="120">
        <v>59.472761427786786</v>
      </c>
      <c r="G57" s="120">
        <v>26.864710590530006</v>
      </c>
      <c r="H57" s="120">
        <v>126.17747245774099</v>
      </c>
      <c r="I57" s="120">
        <v>128.46304041117835</v>
      </c>
      <c r="J57" s="120">
        <v>70.638334678882472</v>
      </c>
      <c r="K57" s="120">
        <v>123.91129594654575</v>
      </c>
      <c r="L57" s="120">
        <v>152.70023731788751</v>
      </c>
    </row>
    <row r="58" spans="1:12" ht="15" customHeight="1" x14ac:dyDescent="0.2">
      <c r="A58" s="11">
        <v>44317</v>
      </c>
      <c r="B58" s="120">
        <v>145.94602840033755</v>
      </c>
      <c r="C58" s="120">
        <v>170.74358636629188</v>
      </c>
      <c r="D58" s="120">
        <v>110.86804912768952</v>
      </c>
      <c r="E58" s="120">
        <v>169.03510829863396</v>
      </c>
      <c r="F58" s="120">
        <v>86.828783268458565</v>
      </c>
      <c r="G58" s="120">
        <v>18.104261704836613</v>
      </c>
      <c r="H58" s="120">
        <v>186.98437377504365</v>
      </c>
      <c r="I58" s="120">
        <v>156.67465748893838</v>
      </c>
      <c r="J58" s="120">
        <v>93.715286269584681</v>
      </c>
      <c r="K58" s="120">
        <v>148.21009276501434</v>
      </c>
      <c r="L58" s="120">
        <v>144.99065196761936</v>
      </c>
    </row>
    <row r="59" spans="1:12" ht="15" customHeight="1" x14ac:dyDescent="0.2">
      <c r="A59" s="11">
        <v>44348</v>
      </c>
      <c r="B59" s="120">
        <v>136.65627248209944</v>
      </c>
      <c r="C59" s="120">
        <v>539.88209634660041</v>
      </c>
      <c r="D59" s="120">
        <v>111.70707462042073</v>
      </c>
      <c r="E59" s="120">
        <v>181.15827162177638</v>
      </c>
      <c r="F59" s="120">
        <v>98.570621685995278</v>
      </c>
      <c r="G59" s="120">
        <v>21.48134154188017</v>
      </c>
      <c r="H59" s="120">
        <v>218.88083518203027</v>
      </c>
      <c r="I59" s="120">
        <v>136.54404345084916</v>
      </c>
      <c r="J59" s="120">
        <v>106.60750240689426</v>
      </c>
      <c r="K59" s="120">
        <v>145.76992353393248</v>
      </c>
      <c r="L59" s="120">
        <v>156.97547942458908</v>
      </c>
    </row>
    <row r="60" spans="1:12" ht="15" customHeight="1" x14ac:dyDescent="0.2">
      <c r="A60" s="11">
        <v>44378</v>
      </c>
      <c r="B60" s="120">
        <v>150.42224477301633</v>
      </c>
      <c r="C60" s="120">
        <v>532.07161392038336</v>
      </c>
      <c r="D60" s="120">
        <v>110.28855120348719</v>
      </c>
      <c r="E60" s="120">
        <v>184.81282650064526</v>
      </c>
      <c r="F60" s="120">
        <v>93.269368662479977</v>
      </c>
      <c r="G60" s="120">
        <v>25.731574973384131</v>
      </c>
      <c r="H60" s="120">
        <v>223.18998653569332</v>
      </c>
      <c r="I60" s="120">
        <v>260.30718150906569</v>
      </c>
      <c r="J60" s="120">
        <v>119.46087454103906</v>
      </c>
      <c r="K60" s="120">
        <v>77.823952333072654</v>
      </c>
      <c r="L60" s="120">
        <v>162.98666509434705</v>
      </c>
    </row>
    <row r="61" spans="1:12" ht="15" customHeight="1" x14ac:dyDescent="0.2">
      <c r="A61" s="11">
        <v>44409</v>
      </c>
      <c r="B61" s="120">
        <v>155.87131086906479</v>
      </c>
      <c r="C61" s="120">
        <v>454.83571697230099</v>
      </c>
      <c r="D61" s="120">
        <v>122.74787271703045</v>
      </c>
      <c r="E61" s="120">
        <v>201.82086118147447</v>
      </c>
      <c r="F61" s="120">
        <v>93.494334053010419</v>
      </c>
      <c r="G61" s="120">
        <v>32.529830488406553</v>
      </c>
      <c r="H61" s="120">
        <v>211.08879944097148</v>
      </c>
      <c r="I61" s="120">
        <v>205.99641430762651</v>
      </c>
      <c r="J61" s="120">
        <v>106.42683768884207</v>
      </c>
      <c r="K61" s="120">
        <v>87.942956692504495</v>
      </c>
      <c r="L61" s="120">
        <v>171.34778678424584</v>
      </c>
    </row>
    <row r="62" spans="1:12" ht="15" customHeight="1" x14ac:dyDescent="0.2">
      <c r="A62" s="11">
        <v>44440</v>
      </c>
      <c r="B62" s="120">
        <v>126.63010461913468</v>
      </c>
      <c r="C62" s="120">
        <v>258.59090789967416</v>
      </c>
      <c r="D62" s="120">
        <v>120.79283406819579</v>
      </c>
      <c r="E62" s="120">
        <v>185.41101180056447</v>
      </c>
      <c r="F62" s="120">
        <v>84.768212329292211</v>
      </c>
      <c r="G62" s="120">
        <v>41.44566084778225</v>
      </c>
      <c r="H62" s="120">
        <v>197.81581054037164</v>
      </c>
      <c r="I62" s="120">
        <v>199.98430308945788</v>
      </c>
      <c r="J62" s="120">
        <v>98.060170691450551</v>
      </c>
      <c r="K62" s="120">
        <v>95.754455378146289</v>
      </c>
      <c r="L62" s="120">
        <v>157.54207418502807</v>
      </c>
    </row>
    <row r="63" spans="1:12" ht="15" customHeight="1" x14ac:dyDescent="0.2">
      <c r="A63" s="11">
        <v>44470</v>
      </c>
      <c r="B63" s="120">
        <v>141.34714311294988</v>
      </c>
      <c r="C63" s="120">
        <v>195.15624080425437</v>
      </c>
      <c r="D63" s="120">
        <v>113.25708227464212</v>
      </c>
      <c r="E63" s="120">
        <v>179.14506462712217</v>
      </c>
      <c r="F63" s="120">
        <v>88.882244298537643</v>
      </c>
      <c r="G63" s="120">
        <v>26.327726973118519</v>
      </c>
      <c r="H63" s="120">
        <v>212.68446453621394</v>
      </c>
      <c r="I63" s="120">
        <v>250.69792657158422</v>
      </c>
      <c r="J63" s="120">
        <v>106.27265869182668</v>
      </c>
      <c r="K63" s="120">
        <v>62.990792935033461</v>
      </c>
      <c r="L63" s="120">
        <v>155.24773143976273</v>
      </c>
    </row>
    <row r="64" spans="1:12" ht="15" customHeight="1" x14ac:dyDescent="0.2">
      <c r="A64" s="11">
        <v>44501</v>
      </c>
      <c r="B64" s="120">
        <v>139.02127039724624</v>
      </c>
      <c r="C64" s="120">
        <v>329.68713484904805</v>
      </c>
      <c r="D64" s="120">
        <v>125.0708167848225</v>
      </c>
      <c r="E64" s="120">
        <v>200.19370244737394</v>
      </c>
      <c r="F64" s="120">
        <v>94.76677999524675</v>
      </c>
      <c r="G64" s="120">
        <v>24.576194407335922</v>
      </c>
      <c r="H64" s="120">
        <v>205.10572978554359</v>
      </c>
      <c r="I64" s="120">
        <v>234.36689116573478</v>
      </c>
      <c r="J64" s="120">
        <v>117.44054358918329</v>
      </c>
      <c r="K64" s="120">
        <v>117.07917243690407</v>
      </c>
      <c r="L64" s="120">
        <v>173.36349277315568</v>
      </c>
    </row>
    <row r="65" spans="1:12" ht="15" customHeight="1" x14ac:dyDescent="0.2">
      <c r="A65" s="11">
        <v>44531</v>
      </c>
      <c r="B65" s="120">
        <v>149.68250999720021</v>
      </c>
      <c r="C65" s="120">
        <v>289.84292492155339</v>
      </c>
      <c r="D65" s="120">
        <v>120.35568231786357</v>
      </c>
      <c r="E65" s="120">
        <v>200.40763442835893</v>
      </c>
      <c r="F65" s="120">
        <v>89.32568501799264</v>
      </c>
      <c r="G65" s="120">
        <v>22.592917679281417</v>
      </c>
      <c r="H65" s="120">
        <v>168.70572660400512</v>
      </c>
      <c r="I65" s="120">
        <v>191.15853237150685</v>
      </c>
      <c r="J65" s="120">
        <v>101.15428084258922</v>
      </c>
      <c r="K65" s="120">
        <v>101.77911270267626</v>
      </c>
      <c r="L65" s="120">
        <v>169.03225687859901</v>
      </c>
    </row>
    <row r="66" spans="1:12" ht="15" customHeight="1" x14ac:dyDescent="0.2">
      <c r="A66" s="10">
        <v>44562</v>
      </c>
      <c r="B66" s="12">
        <v>154.35618558462454</v>
      </c>
      <c r="C66" s="12">
        <v>255.23194170354151</v>
      </c>
      <c r="D66" s="12">
        <v>106.40528214642003</v>
      </c>
      <c r="E66" s="12">
        <v>203.02853360058359</v>
      </c>
      <c r="F66" s="12">
        <v>71.010962774163673</v>
      </c>
      <c r="G66" s="12">
        <v>41.919370761230972</v>
      </c>
      <c r="H66" s="12">
        <v>174.6478369353527</v>
      </c>
      <c r="I66" s="12">
        <v>164.90981377284595</v>
      </c>
      <c r="J66" s="12">
        <v>88.690461874140851</v>
      </c>
      <c r="K66" s="12">
        <v>80.246140611585162</v>
      </c>
      <c r="L66" s="12">
        <v>167.44955429368855</v>
      </c>
    </row>
    <row r="67" spans="1:12" ht="15" customHeight="1" x14ac:dyDescent="0.2">
      <c r="A67" s="10">
        <v>44593</v>
      </c>
      <c r="B67" s="12">
        <v>148.78155527442161</v>
      </c>
      <c r="C67" s="12">
        <v>198.6512791285856</v>
      </c>
      <c r="D67" s="12">
        <v>108.96570130930479</v>
      </c>
      <c r="E67" s="12">
        <v>170.29015608098771</v>
      </c>
      <c r="F67" s="12">
        <v>76.87844549121121</v>
      </c>
      <c r="G67" s="12">
        <v>41.923751728043293</v>
      </c>
      <c r="H67" s="12">
        <v>187.55736287274095</v>
      </c>
      <c r="I67" s="12">
        <v>212.67559056418912</v>
      </c>
      <c r="J67" s="12">
        <v>90.085315210618347</v>
      </c>
      <c r="K67" s="12">
        <v>97.663666032142331</v>
      </c>
      <c r="L67" s="12">
        <v>144.74317837260875</v>
      </c>
    </row>
    <row r="68" spans="1:12" ht="15" customHeight="1" x14ac:dyDescent="0.2">
      <c r="A68" s="10">
        <v>44621</v>
      </c>
      <c r="B68" s="12">
        <v>156.93628040289536</v>
      </c>
      <c r="C68" s="12">
        <v>157.86220977167821</v>
      </c>
      <c r="D68" s="12">
        <v>122.22365250375161</v>
      </c>
      <c r="E68" s="12">
        <v>193.54998339524684</v>
      </c>
      <c r="F68" s="12">
        <v>85.296152803329747</v>
      </c>
      <c r="G68" s="12">
        <v>40.009543119643624</v>
      </c>
      <c r="H68" s="12">
        <v>212.62960668143742</v>
      </c>
      <c r="I68" s="12">
        <v>259.53577665140489</v>
      </c>
      <c r="J68" s="12">
        <v>101.36719802675138</v>
      </c>
      <c r="K68" s="12">
        <v>105.5075152563237</v>
      </c>
      <c r="L68" s="12">
        <v>164.21090731360363</v>
      </c>
    </row>
    <row r="69" spans="1:12" ht="15" customHeight="1" x14ac:dyDescent="0.2">
      <c r="A69" s="10">
        <v>44652</v>
      </c>
      <c r="B69" s="12">
        <v>141.88313145314828</v>
      </c>
      <c r="C69" s="12">
        <v>175.01210453021392</v>
      </c>
      <c r="D69" s="12">
        <v>86.324909754537472</v>
      </c>
      <c r="E69" s="12">
        <v>198.59841181391599</v>
      </c>
      <c r="F69" s="12">
        <v>67.470475942397528</v>
      </c>
      <c r="G69" s="12">
        <v>25.867376453503276</v>
      </c>
      <c r="H69" s="12">
        <v>164.9148324434089</v>
      </c>
      <c r="I69" s="12">
        <v>240.04123048397878</v>
      </c>
      <c r="J69" s="12">
        <v>80.570192669406111</v>
      </c>
      <c r="K69" s="12">
        <v>95.972277563029706</v>
      </c>
      <c r="L69" s="12">
        <v>162.1937996139755</v>
      </c>
    </row>
    <row r="70" spans="1:12" ht="15" customHeight="1" x14ac:dyDescent="0.2">
      <c r="A70" s="10">
        <v>44682</v>
      </c>
      <c r="B70" s="12">
        <v>140.40478257386488</v>
      </c>
      <c r="C70" s="12">
        <v>147.24113396139694</v>
      </c>
      <c r="D70" s="12">
        <v>98.779925703734435</v>
      </c>
      <c r="E70" s="12">
        <v>196.72355090061708</v>
      </c>
      <c r="F70" s="12">
        <v>72.966845003431345</v>
      </c>
      <c r="G70" s="12">
        <v>23.03824294347271</v>
      </c>
      <c r="H70" s="12">
        <v>211.09839551532718</v>
      </c>
      <c r="I70" s="12">
        <v>250.77593032300459</v>
      </c>
      <c r="J70" s="12">
        <v>87.103732329651336</v>
      </c>
      <c r="K70" s="12">
        <v>56.2476135261048</v>
      </c>
      <c r="L70" s="12">
        <v>162.49557005387362</v>
      </c>
    </row>
    <row r="71" spans="1:12" ht="15" customHeight="1" x14ac:dyDescent="0.2">
      <c r="A71" s="10">
        <v>44713</v>
      </c>
      <c r="B71" s="12">
        <v>158.75575863188507</v>
      </c>
      <c r="C71" s="12">
        <v>295.56108209223021</v>
      </c>
      <c r="D71" s="12">
        <v>121.88807278750556</v>
      </c>
      <c r="E71" s="12">
        <v>230.13384581286073</v>
      </c>
      <c r="F71" s="12">
        <v>86.477645285112587</v>
      </c>
      <c r="G71" s="12">
        <v>22.837329908997042</v>
      </c>
      <c r="H71" s="12">
        <v>239.57889295421188</v>
      </c>
      <c r="I71" s="12">
        <v>258.30961468973805</v>
      </c>
      <c r="J71" s="12">
        <v>109.3422340050893</v>
      </c>
      <c r="K71" s="12">
        <v>123.1644452688741</v>
      </c>
      <c r="L71" s="12">
        <v>192.34380396708553</v>
      </c>
    </row>
    <row r="72" spans="1:12" ht="15" customHeight="1" x14ac:dyDescent="0.2">
      <c r="A72" s="10">
        <v>44743</v>
      </c>
      <c r="B72" s="12">
        <v>152.48239879269445</v>
      </c>
      <c r="C72" s="12">
        <v>172.14533579445506</v>
      </c>
      <c r="D72" s="12">
        <v>106.07340916170889</v>
      </c>
      <c r="E72" s="12">
        <v>174.17376989395498</v>
      </c>
      <c r="F72" s="12">
        <v>83.510107244511246</v>
      </c>
      <c r="G72" s="12">
        <v>19.58938620059331</v>
      </c>
      <c r="H72" s="12">
        <v>192.29607454613802</v>
      </c>
      <c r="I72" s="12">
        <v>245.90509108453622</v>
      </c>
      <c r="J72" s="12">
        <v>96.343627524330458</v>
      </c>
      <c r="K72" s="12">
        <v>38.11349572590985</v>
      </c>
      <c r="L72" s="12">
        <v>148.97724530784743</v>
      </c>
    </row>
    <row r="73" spans="1:12" ht="15" customHeight="1" x14ac:dyDescent="0.2">
      <c r="A73" s="10">
        <v>44774</v>
      </c>
      <c r="B73" s="12">
        <v>172.70707383412386</v>
      </c>
      <c r="C73" s="12">
        <v>178.14902424406785</v>
      </c>
      <c r="D73" s="12">
        <v>118.49646832039876</v>
      </c>
      <c r="E73" s="12">
        <v>216.66362983632047</v>
      </c>
      <c r="F73" s="12">
        <v>84.103687726534872</v>
      </c>
      <c r="G73" s="12">
        <v>22.682848739404825</v>
      </c>
      <c r="H73" s="12">
        <v>210.02347021627551</v>
      </c>
      <c r="I73" s="12">
        <v>296.54761597273477</v>
      </c>
      <c r="J73" s="12">
        <v>103.21431581888562</v>
      </c>
      <c r="K73" s="12">
        <v>93.189286614270955</v>
      </c>
      <c r="L73" s="12">
        <v>181.02065158148838</v>
      </c>
    </row>
    <row r="74" spans="1:12" ht="15" customHeight="1" x14ac:dyDescent="0.2">
      <c r="A74" s="10">
        <v>44805</v>
      </c>
      <c r="B74" s="12">
        <v>128.27944970629008</v>
      </c>
      <c r="C74" s="12">
        <v>93.386257225209349</v>
      </c>
      <c r="D74" s="12">
        <v>112.99012620849389</v>
      </c>
      <c r="E74" s="12">
        <v>170.00128725302048</v>
      </c>
      <c r="F74" s="12">
        <v>79.108501763635118</v>
      </c>
      <c r="G74" s="12">
        <v>24.274132831301458</v>
      </c>
      <c r="H74" s="12">
        <v>195.60610692728073</v>
      </c>
      <c r="I74" s="12">
        <v>279.00814692484471</v>
      </c>
      <c r="J74" s="12">
        <v>96.187815128264816</v>
      </c>
      <c r="K74" s="12">
        <v>107.42376171345956</v>
      </c>
      <c r="L74" s="12">
        <v>146.21738987803414</v>
      </c>
    </row>
    <row r="75" spans="1:12" ht="15" customHeight="1" x14ac:dyDescent="0.2">
      <c r="A75" s="10">
        <v>44835</v>
      </c>
      <c r="B75" s="12">
        <v>121.02801003982138</v>
      </c>
      <c r="C75" s="12">
        <v>120.82913152789861</v>
      </c>
      <c r="D75" s="12">
        <v>108.63542968237769</v>
      </c>
      <c r="E75" s="12">
        <v>212.42713180916417</v>
      </c>
      <c r="F75" s="12">
        <v>70.381389621362686</v>
      </c>
      <c r="G75" s="12">
        <v>31.573992741711276</v>
      </c>
      <c r="H75" s="12">
        <v>196.58889608991691</v>
      </c>
      <c r="I75" s="12">
        <v>241.89971403555438</v>
      </c>
      <c r="J75" s="12">
        <v>91.282394255279712</v>
      </c>
      <c r="K75" s="12">
        <v>59.562529602828718</v>
      </c>
      <c r="L75" s="12">
        <v>174.88393173349792</v>
      </c>
    </row>
    <row r="76" spans="1:12" ht="15" customHeight="1" x14ac:dyDescent="0.2">
      <c r="A76" s="10">
        <v>44866</v>
      </c>
      <c r="B76" s="12">
        <v>131.34455235137972</v>
      </c>
      <c r="C76" s="12">
        <v>143.89955669381169</v>
      </c>
      <c r="D76" s="12">
        <v>93.941821339031691</v>
      </c>
      <c r="E76" s="12">
        <v>166.59004226639058</v>
      </c>
      <c r="F76" s="12">
        <v>70.995121529269866</v>
      </c>
      <c r="G76" s="12">
        <v>22.860188459348521</v>
      </c>
      <c r="H76" s="12">
        <v>167.41686645870132</v>
      </c>
      <c r="I76" s="12">
        <v>233.42358744283297</v>
      </c>
      <c r="J76" s="12">
        <v>86.380569091910559</v>
      </c>
      <c r="K76" s="12">
        <v>85.178496581328119</v>
      </c>
      <c r="L76" s="12">
        <v>141.10680457661138</v>
      </c>
    </row>
    <row r="77" spans="1:12" ht="15" customHeight="1" x14ac:dyDescent="0.2">
      <c r="A77" s="10">
        <v>44896</v>
      </c>
      <c r="B77" s="12">
        <v>128.35666649513794</v>
      </c>
      <c r="C77" s="12">
        <v>332.27855762668054</v>
      </c>
      <c r="D77" s="12">
        <v>94.411351116047328</v>
      </c>
      <c r="E77" s="12">
        <v>206.50562877840679</v>
      </c>
      <c r="F77" s="12">
        <v>71.129943927317399</v>
      </c>
      <c r="G77" s="12">
        <v>34.413987127715437</v>
      </c>
      <c r="H77" s="12">
        <v>169.11194219225513</v>
      </c>
      <c r="I77" s="12">
        <v>207.56914360754615</v>
      </c>
      <c r="J77" s="12">
        <v>86.721022004689715</v>
      </c>
      <c r="K77" s="12">
        <v>427.82296281563521</v>
      </c>
      <c r="L77" s="12">
        <v>170.40185890635229</v>
      </c>
    </row>
    <row r="78" spans="1:12" ht="15" customHeight="1" x14ac:dyDescent="0.2">
      <c r="A78" s="11">
        <v>44927</v>
      </c>
      <c r="B78" s="120">
        <v>117.78616702333521</v>
      </c>
      <c r="C78" s="120">
        <v>158.89124111892613</v>
      </c>
      <c r="D78" s="120">
        <v>93.947924088062763</v>
      </c>
      <c r="E78" s="120">
        <v>221.21559597718505</v>
      </c>
      <c r="F78" s="120">
        <v>64.906898609208568</v>
      </c>
      <c r="G78" s="120">
        <v>35.814949522833651</v>
      </c>
      <c r="H78" s="120">
        <v>155.14380347500881</v>
      </c>
      <c r="I78" s="120">
        <v>155.46121225967491</v>
      </c>
      <c r="J78" s="120">
        <v>80.159160138183054</v>
      </c>
      <c r="K78" s="120">
        <v>99.329316755811107</v>
      </c>
      <c r="L78" s="120">
        <v>178.08012558658081</v>
      </c>
    </row>
    <row r="79" spans="1:12" ht="15" customHeight="1" x14ac:dyDescent="0.2">
      <c r="A79" s="11">
        <v>44958</v>
      </c>
      <c r="B79" s="120">
        <v>119.60566173264901</v>
      </c>
      <c r="C79" s="120">
        <v>141.20796647874531</v>
      </c>
      <c r="D79" s="120">
        <v>70.522729744206046</v>
      </c>
      <c r="E79" s="120">
        <v>165.95836479369473</v>
      </c>
      <c r="F79" s="120">
        <v>69.178732435098112</v>
      </c>
      <c r="G79" s="120">
        <v>47.630233025173659</v>
      </c>
      <c r="H79" s="120">
        <v>175.51662997404168</v>
      </c>
      <c r="I79" s="120">
        <v>183.64888307558908</v>
      </c>
      <c r="J79" s="120">
        <v>86.810335638449217</v>
      </c>
      <c r="K79" s="120">
        <v>74.018547169809437</v>
      </c>
      <c r="L79" s="120">
        <v>140.7343012990616</v>
      </c>
    </row>
    <row r="80" spans="1:12" ht="15" customHeight="1" x14ac:dyDescent="0.2">
      <c r="A80" s="11">
        <v>44986</v>
      </c>
      <c r="B80" s="120">
        <v>124.03484460159456</v>
      </c>
      <c r="C80" s="120">
        <v>153.83743431057843</v>
      </c>
      <c r="D80" s="120">
        <v>98.14450519060064</v>
      </c>
      <c r="E80" s="120">
        <v>196.55555295311126</v>
      </c>
      <c r="F80" s="120">
        <v>67.901666227692118</v>
      </c>
      <c r="G80" s="120">
        <v>41.423429852562023</v>
      </c>
      <c r="H80" s="120">
        <v>189.80568940143996</v>
      </c>
      <c r="I80" s="120">
        <v>187.93056518726945</v>
      </c>
      <c r="J80" s="120">
        <v>89.125540922955096</v>
      </c>
      <c r="K80" s="120">
        <v>111.73062812599096</v>
      </c>
      <c r="L80" s="120">
        <v>163.10836627008527</v>
      </c>
    </row>
    <row r="81" spans="1:12" ht="15" customHeight="1" x14ac:dyDescent="0.2">
      <c r="A81" s="11">
        <v>45017</v>
      </c>
      <c r="B81" s="120">
        <v>94.519612158546892</v>
      </c>
      <c r="C81" s="120">
        <v>137.94763988448668</v>
      </c>
      <c r="D81" s="120">
        <v>61.701850881254181</v>
      </c>
      <c r="E81" s="120">
        <v>222.02666668199288</v>
      </c>
      <c r="F81" s="120">
        <v>59.932697150139283</v>
      </c>
      <c r="G81" s="120">
        <v>22.624010473431763</v>
      </c>
      <c r="H81" s="120">
        <v>163.44888668681628</v>
      </c>
      <c r="I81" s="120">
        <v>235.28155321712663</v>
      </c>
      <c r="J81" s="120">
        <v>77.195758302720861</v>
      </c>
      <c r="K81" s="120">
        <v>41.600931797718587</v>
      </c>
      <c r="L81" s="120">
        <v>177.80584927550601</v>
      </c>
    </row>
    <row r="82" spans="1:12" ht="15" customHeight="1" x14ac:dyDescent="0.2">
      <c r="A82" s="11">
        <v>45047</v>
      </c>
      <c r="B82" s="120">
        <v>110.41524881917404</v>
      </c>
      <c r="C82" s="120">
        <v>136.69268914540302</v>
      </c>
      <c r="D82" s="120">
        <v>79.560438023952997</v>
      </c>
      <c r="E82" s="120">
        <v>216.11087654962148</v>
      </c>
      <c r="F82" s="120">
        <v>76.459713773425122</v>
      </c>
      <c r="G82" s="120">
        <v>27.817483631938778</v>
      </c>
      <c r="H82" s="120">
        <v>211.50132140109099</v>
      </c>
      <c r="I82" s="120">
        <v>275.74684962437624</v>
      </c>
      <c r="J82" s="120">
        <v>94.844417250889293</v>
      </c>
      <c r="K82" s="120">
        <v>73.737167375312524</v>
      </c>
      <c r="L82" s="120">
        <v>178.33509431091457</v>
      </c>
    </row>
    <row r="83" spans="1:12" ht="15" customHeight="1" x14ac:dyDescent="0.2">
      <c r="A83" s="11">
        <v>45078</v>
      </c>
      <c r="B83" s="120">
        <v>119.33623491239456</v>
      </c>
      <c r="C83" s="120">
        <v>150.96764261950148</v>
      </c>
      <c r="D83" s="120">
        <v>79.887229775490752</v>
      </c>
      <c r="E83" s="120">
        <v>192.04862360913194</v>
      </c>
      <c r="F83" s="120">
        <v>78.253257682262472</v>
      </c>
      <c r="G83" s="120">
        <v>18.145072994016065</v>
      </c>
      <c r="H83" s="120">
        <v>192.61096482016299</v>
      </c>
      <c r="I83" s="120">
        <v>317.23340224571257</v>
      </c>
      <c r="J83" s="120">
        <v>92.145734765482359</v>
      </c>
      <c r="K83" s="120">
        <v>34.980285104643876</v>
      </c>
      <c r="L83" s="120">
        <v>160.48998531103419</v>
      </c>
    </row>
    <row r="84" spans="1:12" ht="15" customHeight="1" x14ac:dyDescent="0.2">
      <c r="A84" s="11">
        <v>45108</v>
      </c>
      <c r="B84" s="120">
        <v>116.31313866960173</v>
      </c>
      <c r="C84" s="120">
        <v>142.86582143624673</v>
      </c>
      <c r="D84" s="120">
        <v>78.007146480653304</v>
      </c>
      <c r="E84" s="120">
        <v>195.96462224435308</v>
      </c>
      <c r="F84" s="120">
        <v>83.483110190801469</v>
      </c>
      <c r="G84" s="120">
        <v>18.392824934551232</v>
      </c>
      <c r="H84" s="120">
        <v>221.00326269193945</v>
      </c>
      <c r="I84" s="120">
        <v>411.71487395172403</v>
      </c>
      <c r="J84" s="120">
        <v>103.21161751374967</v>
      </c>
      <c r="K84" s="120">
        <v>76.56404164417917</v>
      </c>
      <c r="L84" s="120">
        <v>166.34243926102604</v>
      </c>
    </row>
    <row r="85" spans="1:12" ht="15" customHeight="1" x14ac:dyDescent="0.2">
      <c r="A85" s="11">
        <v>45139</v>
      </c>
      <c r="B85" s="120">
        <v>114.53612548465294</v>
      </c>
      <c r="C85" s="120">
        <v>216.09190846970282</v>
      </c>
      <c r="D85" s="120">
        <v>83.058658962256118</v>
      </c>
      <c r="E85" s="120">
        <v>245.32468122489115</v>
      </c>
      <c r="F85" s="120">
        <v>84.910638924705637</v>
      </c>
      <c r="G85" s="120">
        <v>18.358887070349898</v>
      </c>
      <c r="H85" s="120">
        <v>232.99857364567353</v>
      </c>
      <c r="I85" s="120">
        <v>328.12365400387444</v>
      </c>
      <c r="J85" s="120">
        <v>105.44970209842255</v>
      </c>
      <c r="K85" s="120">
        <v>85.776202157126846</v>
      </c>
      <c r="L85" s="120">
        <v>201.82011961516866</v>
      </c>
    </row>
    <row r="86" spans="1:12" ht="15" customHeight="1" x14ac:dyDescent="0.2">
      <c r="A86" s="11">
        <v>45170</v>
      </c>
      <c r="B86" s="120">
        <v>100.19743568501461</v>
      </c>
      <c r="C86" s="120">
        <v>159.34276763826173</v>
      </c>
      <c r="D86" s="120">
        <v>83.919081047762504</v>
      </c>
      <c r="E86" s="120">
        <v>192.56529148395597</v>
      </c>
      <c r="F86" s="120">
        <v>84.668238510627745</v>
      </c>
      <c r="G86" s="120">
        <v>22.556968315450927</v>
      </c>
      <c r="H86" s="120">
        <v>228.47387005119663</v>
      </c>
      <c r="I86" s="120">
        <v>272.17134756478441</v>
      </c>
      <c r="J86" s="120">
        <v>102.78982707985081</v>
      </c>
      <c r="K86" s="120">
        <v>58.463404962229511</v>
      </c>
      <c r="L86" s="120">
        <v>163.77696349035992</v>
      </c>
    </row>
    <row r="87" spans="1:12" ht="15" customHeight="1" x14ac:dyDescent="0.2">
      <c r="A87" s="11">
        <v>45200</v>
      </c>
      <c r="B87" s="120">
        <v>115.37343243170361</v>
      </c>
      <c r="C87" s="120">
        <v>177.82667140137829</v>
      </c>
      <c r="D87" s="120">
        <v>80.703505761836269</v>
      </c>
      <c r="E87" s="120">
        <v>179.71374064413894</v>
      </c>
      <c r="F87" s="120">
        <v>67.376028429087967</v>
      </c>
      <c r="G87" s="120">
        <v>16.041075048930153</v>
      </c>
      <c r="H87" s="120">
        <v>208.81030990720973</v>
      </c>
      <c r="I87" s="120">
        <v>295.86059344082605</v>
      </c>
      <c r="J87" s="120">
        <v>89.376704474808136</v>
      </c>
      <c r="K87" s="120">
        <v>93.291050482636805</v>
      </c>
      <c r="L87" s="120">
        <v>151.20710857158758</v>
      </c>
    </row>
    <row r="88" spans="1:12" ht="15" customHeight="1" x14ac:dyDescent="0.2">
      <c r="A88" s="11">
        <v>45231</v>
      </c>
      <c r="B88" s="120">
        <v>116.26052846702814</v>
      </c>
      <c r="C88" s="120">
        <v>187.999522447761</v>
      </c>
      <c r="D88" s="120">
        <v>77.988848799205925</v>
      </c>
      <c r="E88" s="120">
        <v>180.91263442038564</v>
      </c>
      <c r="F88" s="120">
        <v>81.002229465697411</v>
      </c>
      <c r="G88" s="120">
        <v>11.861785553335803</v>
      </c>
      <c r="H88" s="120">
        <v>198.29522969446575</v>
      </c>
      <c r="I88" s="120">
        <v>266.35764776742462</v>
      </c>
      <c r="J88" s="120">
        <v>98.009925980012852</v>
      </c>
      <c r="K88" s="120">
        <v>326.26127618495008</v>
      </c>
      <c r="L88" s="120">
        <v>155.0405612103483</v>
      </c>
    </row>
    <row r="89" spans="1:12" ht="15" customHeight="1" x14ac:dyDescent="0.2">
      <c r="A89" s="11">
        <v>45261</v>
      </c>
      <c r="B89" s="120">
        <v>126.04685550792654</v>
      </c>
      <c r="C89" s="120">
        <v>359.19575278928227</v>
      </c>
      <c r="D89" s="120">
        <v>98.884357466459306</v>
      </c>
      <c r="E89" s="120">
        <v>200.23394549316549</v>
      </c>
      <c r="F89" s="120">
        <v>76.709884173494018</v>
      </c>
      <c r="G89" s="120">
        <v>13.144531679055815</v>
      </c>
      <c r="H89" s="120">
        <v>162.89747425767038</v>
      </c>
      <c r="I89" s="120">
        <v>171.96060854943531</v>
      </c>
      <c r="J89" s="120">
        <v>94.356482671499023</v>
      </c>
      <c r="K89" s="120">
        <v>89.399299239920396</v>
      </c>
      <c r="L89" s="120">
        <v>167.03657668560462</v>
      </c>
    </row>
    <row r="90" spans="1:12" ht="15" customHeight="1" x14ac:dyDescent="0.2">
      <c r="A90" s="10" t="s">
        <v>347</v>
      </c>
      <c r="B90" s="12">
        <v>112.85625186966048</v>
      </c>
      <c r="C90" s="12">
        <v>597.22184820138636</v>
      </c>
      <c r="D90" s="12">
        <v>101.45122067938166</v>
      </c>
      <c r="E90" s="12">
        <v>241.71934149551856</v>
      </c>
      <c r="F90" s="12">
        <v>69.306028423867119</v>
      </c>
      <c r="G90" s="12">
        <v>14.269986110755923</v>
      </c>
      <c r="H90" s="12">
        <v>179.24924941975635</v>
      </c>
      <c r="I90" s="12">
        <v>330.71685984785631</v>
      </c>
      <c r="J90" s="12">
        <v>88.142372144580662</v>
      </c>
      <c r="K90" s="12">
        <v>73.65446141004692</v>
      </c>
      <c r="L90" s="12">
        <v>194.64134160290143</v>
      </c>
    </row>
    <row r="91" spans="1:12" ht="15" customHeight="1" x14ac:dyDescent="0.2">
      <c r="A91" s="10" t="s">
        <v>348</v>
      </c>
      <c r="B91" s="12">
        <v>128.96848688498616</v>
      </c>
      <c r="C91" s="12">
        <v>353.06362392100789</v>
      </c>
      <c r="D91" s="12">
        <v>91.906258196860108</v>
      </c>
      <c r="E91" s="12">
        <v>194.79276675642237</v>
      </c>
      <c r="F91" s="12">
        <v>82.865464841097918</v>
      </c>
      <c r="G91" s="12">
        <v>19.594191586614293</v>
      </c>
      <c r="H91" s="12">
        <v>223.12726313987613</v>
      </c>
      <c r="I91" s="12">
        <v>232.74466349164081</v>
      </c>
      <c r="J91" s="12">
        <v>95.302482443938942</v>
      </c>
      <c r="K91" s="12">
        <v>49.256364833485193</v>
      </c>
      <c r="L91" s="12">
        <v>163.32901358346768</v>
      </c>
    </row>
    <row r="92" spans="1:12" ht="15" customHeight="1" x14ac:dyDescent="0.2">
      <c r="A92" s="10" t="s">
        <v>349</v>
      </c>
      <c r="B92" s="12">
        <v>139.04493482208252</v>
      </c>
      <c r="C92" s="12">
        <v>390.88288496698556</v>
      </c>
      <c r="D92" s="12">
        <v>118.25613693556008</v>
      </c>
      <c r="E92" s="12">
        <v>242.705023629419</v>
      </c>
      <c r="F92" s="12">
        <v>79.792792248279042</v>
      </c>
      <c r="G92" s="12">
        <v>23.192808565641915</v>
      </c>
      <c r="H92" s="12">
        <v>250.46418348488848</v>
      </c>
      <c r="I92" s="12">
        <v>264.39465182121756</v>
      </c>
      <c r="J92" s="12">
        <v>97.977007522072398</v>
      </c>
      <c r="K92" s="12">
        <v>67.231155283533681</v>
      </c>
      <c r="L92" s="12">
        <v>197.98741674657549</v>
      </c>
    </row>
    <row r="93" spans="1:12" ht="15" customHeight="1" x14ac:dyDescent="0.2">
      <c r="A93" s="10" t="s">
        <v>350</v>
      </c>
      <c r="B93" s="12">
        <v>99.613487994073026</v>
      </c>
      <c r="C93" s="12">
        <v>406.68090287739903</v>
      </c>
      <c r="D93" s="12">
        <v>81.412113716816208</v>
      </c>
      <c r="E93" s="12">
        <v>220.12575471484871</v>
      </c>
      <c r="F93" s="12">
        <v>60.65619177969004</v>
      </c>
      <c r="G93" s="12">
        <v>11.55658060284285</v>
      </c>
      <c r="H93" s="12">
        <v>189.06220600696568</v>
      </c>
      <c r="I93" s="12">
        <v>242.89363356683219</v>
      </c>
      <c r="J93" s="12">
        <v>78.547940715498115</v>
      </c>
      <c r="K93" s="12">
        <v>84.439082619304131</v>
      </c>
      <c r="L93" s="12">
        <v>176.85838939120993</v>
      </c>
    </row>
    <row r="94" spans="1:12" ht="15" customHeight="1" x14ac:dyDescent="0.2">
      <c r="A94" s="10" t="s">
        <v>351</v>
      </c>
      <c r="B94" s="12">
        <v>117.39932789887548</v>
      </c>
      <c r="C94" s="12">
        <v>349.89137606443336</v>
      </c>
      <c r="D94" s="12">
        <v>90.086040389454823</v>
      </c>
      <c r="E94" s="12">
        <v>225.90749159522105</v>
      </c>
      <c r="F94" s="12">
        <v>72.58931356137343</v>
      </c>
      <c r="G94" s="12">
        <v>16.011941959396097</v>
      </c>
      <c r="H94" s="12">
        <v>213.15113323596543</v>
      </c>
      <c r="I94" s="12">
        <v>281.72493836326493</v>
      </c>
      <c r="J94" s="12">
        <v>90.516370229281634</v>
      </c>
      <c r="K94" s="12">
        <v>51.317927042839791</v>
      </c>
      <c r="L94" s="12">
        <v>184.03393937526533</v>
      </c>
    </row>
    <row r="95" spans="1:12" ht="15" customHeight="1" x14ac:dyDescent="0.2">
      <c r="A95" s="10" t="s">
        <v>352</v>
      </c>
      <c r="B95" s="12">
        <v>124.93315251829516</v>
      </c>
      <c r="C95" s="12">
        <v>288.92374166598228</v>
      </c>
      <c r="D95" s="12">
        <v>91.961044908627827</v>
      </c>
      <c r="E95" s="12">
        <v>206.23271590387145</v>
      </c>
      <c r="F95" s="12">
        <v>77.018177479711198</v>
      </c>
      <c r="G95" s="12">
        <v>15.222239300299908</v>
      </c>
      <c r="H95" s="12">
        <v>204.11509626367294</v>
      </c>
      <c r="I95" s="12">
        <v>305.42427698421403</v>
      </c>
      <c r="J95" s="12">
        <v>99.306965731051548</v>
      </c>
      <c r="K95" s="12">
        <v>42.30436876014754</v>
      </c>
      <c r="L95" s="12">
        <v>172.48832745844669</v>
      </c>
    </row>
    <row r="96" spans="1:12" ht="15" customHeight="1" x14ac:dyDescent="0.2">
      <c r="A96" s="10" t="s">
        <v>353</v>
      </c>
      <c r="B96" s="12">
        <v>122.92628373021554</v>
      </c>
      <c r="C96" s="12">
        <v>395.29492049976227</v>
      </c>
      <c r="D96" s="12">
        <v>85.390807584253366</v>
      </c>
      <c r="E96" s="12">
        <v>229.04163401538975</v>
      </c>
      <c r="F96" s="12">
        <v>78.971567066051009</v>
      </c>
      <c r="G96" s="12">
        <v>16.736533330742571</v>
      </c>
      <c r="H96" s="12">
        <v>240.516893011343</v>
      </c>
      <c r="I96" s="12">
        <v>289.48964247074201</v>
      </c>
      <c r="J96" s="12">
        <v>106.85960412259737</v>
      </c>
      <c r="K96" s="12">
        <v>52.357629459991038</v>
      </c>
      <c r="L96" s="12">
        <v>190.63434716222275</v>
      </c>
    </row>
    <row r="97" spans="1:12" ht="15" customHeight="1" x14ac:dyDescent="0.2">
      <c r="A97" s="10" t="s">
        <v>354</v>
      </c>
      <c r="B97" s="12">
        <v>140.92115638282755</v>
      </c>
      <c r="C97" s="12">
        <v>410.78097873265523</v>
      </c>
      <c r="D97" s="12">
        <v>123.36476542424218</v>
      </c>
      <c r="E97" s="12">
        <v>268.10151012219666</v>
      </c>
      <c r="F97" s="12">
        <v>82.177711892267368</v>
      </c>
      <c r="G97" s="12">
        <v>21.811006563208498</v>
      </c>
      <c r="H97" s="12">
        <v>251.04630755753894</v>
      </c>
      <c r="I97" s="12">
        <v>222.15686220146625</v>
      </c>
      <c r="J97" s="12">
        <v>106.98345757288497</v>
      </c>
      <c r="K97" s="12">
        <v>110.13593551733372</v>
      </c>
      <c r="L97" s="12">
        <v>218.39798634336753</v>
      </c>
    </row>
    <row r="98" spans="1:12" ht="15" customHeight="1" x14ac:dyDescent="0.2">
      <c r="A98" s="10" t="s">
        <v>355</v>
      </c>
      <c r="B98" s="12">
        <v>118.81680063212964</v>
      </c>
      <c r="C98" s="12">
        <v>312.84426469364507</v>
      </c>
      <c r="D98" s="12">
        <v>92.331407772462839</v>
      </c>
      <c r="E98" s="12">
        <v>219.86111649717446</v>
      </c>
      <c r="F98" s="12">
        <v>73.639451771757763</v>
      </c>
      <c r="G98" s="12">
        <v>19.34005193465784</v>
      </c>
      <c r="H98" s="12">
        <v>212.49892058250572</v>
      </c>
      <c r="I98" s="12">
        <v>220.38858142526831</v>
      </c>
      <c r="J98" s="12">
        <v>91.885250829803013</v>
      </c>
      <c r="K98" s="12">
        <v>23.30086550093645</v>
      </c>
      <c r="L98" s="12">
        <v>180.02300361228703</v>
      </c>
    </row>
    <row r="99" spans="1:12" ht="15" customHeight="1" x14ac:dyDescent="0.2">
      <c r="A99" s="10" t="s">
        <v>356</v>
      </c>
      <c r="B99" s="12">
        <v>119.89937403785621</v>
      </c>
      <c r="C99" s="12">
        <v>537.29606367026668</v>
      </c>
      <c r="D99" s="12">
        <v>104.95862998577657</v>
      </c>
      <c r="E99" s="12">
        <v>242.02195540212639</v>
      </c>
      <c r="F99" s="12">
        <v>78.295678813207942</v>
      </c>
      <c r="G99" s="12">
        <v>19.476283288241209</v>
      </c>
      <c r="H99" s="12">
        <v>233.97356197579546</v>
      </c>
      <c r="I99" s="12">
        <v>206.70068063012775</v>
      </c>
      <c r="J99" s="12">
        <v>99.970684242043731</v>
      </c>
      <c r="K99" s="12">
        <v>79.773498563223413</v>
      </c>
      <c r="L99" s="12">
        <v>198.04216816871508</v>
      </c>
    </row>
    <row r="100" spans="1:12" ht="15" customHeight="1" x14ac:dyDescent="0.2">
      <c r="A100" s="10" t="s">
        <v>357</v>
      </c>
      <c r="B100" s="12">
        <v>112.87960938414348</v>
      </c>
      <c r="C100" s="12">
        <v>304.29335966762233</v>
      </c>
      <c r="D100" s="12">
        <v>91.751643135292284</v>
      </c>
      <c r="E100" s="12">
        <v>188.73101506081736</v>
      </c>
      <c r="F100" s="12">
        <v>74.453282893082431</v>
      </c>
      <c r="G100" s="12">
        <v>13.364860479794416</v>
      </c>
      <c r="H100" s="12">
        <v>185.80751543081399</v>
      </c>
      <c r="I100" s="12">
        <v>290.69293920968687</v>
      </c>
      <c r="J100" s="12">
        <v>91.391780767383452</v>
      </c>
      <c r="K100" s="12">
        <v>74.922541301234602</v>
      </c>
      <c r="L100" s="12">
        <v>158.04964171391615</v>
      </c>
    </row>
    <row r="101" spans="1:12" ht="15" customHeight="1" x14ac:dyDescent="0.2">
      <c r="A101" s="10" t="s">
        <v>358</v>
      </c>
      <c r="B101" s="12">
        <v>133.27300980038837</v>
      </c>
      <c r="C101" s="12">
        <v>628.60317471808526</v>
      </c>
      <c r="D101" s="12">
        <v>102.9039810168686</v>
      </c>
      <c r="E101" s="12">
        <v>237.97960140655854</v>
      </c>
      <c r="F101" s="12">
        <v>83.80356544211493</v>
      </c>
      <c r="G101" s="12">
        <v>16.774715215019643</v>
      </c>
      <c r="H101" s="12">
        <v>189.55556336224754</v>
      </c>
      <c r="I101" s="12">
        <v>306.58568461418656</v>
      </c>
      <c r="J101" s="12">
        <v>102.5587789973823</v>
      </c>
      <c r="K101" s="12">
        <v>46.367239518265514</v>
      </c>
      <c r="L101" s="12">
        <v>195.78708733611714</v>
      </c>
    </row>
    <row r="102" spans="1:12" ht="15" customHeight="1" x14ac:dyDescent="0.2">
      <c r="A102" s="11" t="s">
        <v>287</v>
      </c>
      <c r="B102" s="122">
        <v>142.6839853829396</v>
      </c>
      <c r="C102" s="120">
        <v>517.07900462657585</v>
      </c>
      <c r="D102" s="123">
        <v>95.401105486529005</v>
      </c>
      <c r="E102" s="120">
        <v>244.34641099064351</v>
      </c>
      <c r="F102" s="120">
        <v>72.211923865230716</v>
      </c>
      <c r="G102" s="120">
        <v>22.811517427855847</v>
      </c>
      <c r="H102" s="120">
        <v>168.90363534667046</v>
      </c>
      <c r="I102" s="120">
        <v>260.56485304374326</v>
      </c>
      <c r="J102" s="120">
        <v>85.62916607569332</v>
      </c>
      <c r="K102" s="120">
        <v>29.458011701909626</v>
      </c>
      <c r="L102" s="120">
        <v>195.67815128898579</v>
      </c>
    </row>
    <row r="103" spans="1:12" ht="15" customHeight="1" x14ac:dyDescent="0.2">
      <c r="A103" s="11" t="s">
        <v>288</v>
      </c>
      <c r="B103" s="122">
        <v>128.56572158329868</v>
      </c>
      <c r="C103" s="120">
        <v>345.41352220155073</v>
      </c>
      <c r="D103" s="123">
        <v>109.12685189320467</v>
      </c>
      <c r="E103" s="120">
        <v>210.52822715208373</v>
      </c>
      <c r="F103" s="120">
        <v>76.098077232917277</v>
      </c>
      <c r="G103" s="120">
        <v>20.871693607175644</v>
      </c>
      <c r="H103" s="120">
        <v>177.17700271466475</v>
      </c>
      <c r="I103" s="120">
        <v>220.60642420199923</v>
      </c>
      <c r="J103" s="120">
        <v>87.676981019439154</v>
      </c>
      <c r="K103" s="120">
        <v>35.621998243403247</v>
      </c>
      <c r="L103" s="120">
        <v>172.33294082846928</v>
      </c>
    </row>
    <row r="104" spans="1:12" ht="15" customHeight="1" x14ac:dyDescent="0.2">
      <c r="A104" s="11" t="s">
        <v>289</v>
      </c>
      <c r="B104" s="122">
        <v>155.16756297688181</v>
      </c>
      <c r="C104" s="120">
        <v>520.70412337983248</v>
      </c>
      <c r="D104" s="123">
        <v>103.43868838629129</v>
      </c>
      <c r="E104" s="120">
        <v>271.05825391252472</v>
      </c>
      <c r="F104" s="120">
        <v>87.126438207980769</v>
      </c>
      <c r="G104" s="120">
        <v>19.232972842049826</v>
      </c>
      <c r="H104" s="120">
        <v>216.35876910128803</v>
      </c>
      <c r="I104" s="120">
        <v>246.53812714670624</v>
      </c>
      <c r="J104" s="120">
        <v>99.149214040443297</v>
      </c>
      <c r="K104" s="120">
        <v>84.232466611166473</v>
      </c>
      <c r="L104" s="120">
        <v>218.35696110520294</v>
      </c>
    </row>
    <row r="105" spans="1:12" ht="15" customHeight="1" x14ac:dyDescent="0.2">
      <c r="A105" s="11" t="s">
        <v>290</v>
      </c>
      <c r="B105" s="122">
        <v>110.24315287722561</v>
      </c>
      <c r="C105" s="120">
        <v>294.28120599889729</v>
      </c>
      <c r="D105" s="123">
        <v>71.789087854983023</v>
      </c>
      <c r="E105" s="120">
        <v>245.54713616371617</v>
      </c>
      <c r="F105" s="120">
        <v>67.893664937600732</v>
      </c>
      <c r="G105" s="120">
        <v>14.050952932997969</v>
      </c>
      <c r="H105" s="120">
        <v>168.8109835852041</v>
      </c>
      <c r="I105" s="120">
        <v>320.43962584678695</v>
      </c>
      <c r="J105" s="120">
        <v>85.387262577417232</v>
      </c>
      <c r="K105" s="120">
        <v>45.321877541487119</v>
      </c>
      <c r="L105" s="120">
        <v>196.54649516761688</v>
      </c>
    </row>
    <row r="106" spans="1:12" ht="15" customHeight="1" x14ac:dyDescent="0.2">
      <c r="A106" s="11" t="s">
        <v>291</v>
      </c>
      <c r="B106" s="122">
        <v>115.10594086575506</v>
      </c>
      <c r="C106" s="120">
        <v>344.53898177302506</v>
      </c>
      <c r="D106" s="123">
        <v>80.124847281580486</v>
      </c>
      <c r="E106" s="120">
        <v>227.30821295784784</v>
      </c>
      <c r="F106" s="120">
        <v>81.595915853253615</v>
      </c>
      <c r="G106" s="120">
        <v>15.51191209328764</v>
      </c>
      <c r="H106" s="120">
        <v>207.62968492644094</v>
      </c>
      <c r="I106" s="120">
        <v>305.49077872406235</v>
      </c>
      <c r="J106" s="120">
        <v>92.079902571526517</v>
      </c>
      <c r="K106" s="120">
        <v>49.872690258976128</v>
      </c>
      <c r="L106" s="120">
        <v>185.39958189181093</v>
      </c>
    </row>
    <row r="107" spans="1:12" ht="15" customHeight="1" x14ac:dyDescent="0.2">
      <c r="A107" s="11" t="s">
        <v>292</v>
      </c>
      <c r="B107" s="122">
        <v>142.01894680794487</v>
      </c>
      <c r="C107" s="120">
        <v>388.79875548030793</v>
      </c>
      <c r="D107" s="123">
        <v>95.598234447054651</v>
      </c>
      <c r="E107" s="120">
        <v>225.85558111291581</v>
      </c>
      <c r="F107" s="120">
        <v>85.95552825705407</v>
      </c>
      <c r="G107" s="120">
        <v>8.9718914258385514</v>
      </c>
      <c r="H107" s="120">
        <v>224.76329538910673</v>
      </c>
      <c r="I107" s="120">
        <v>345.49773129137043</v>
      </c>
      <c r="J107" s="120">
        <v>99.468267835279903</v>
      </c>
      <c r="K107" s="120">
        <v>41.747013924345758</v>
      </c>
      <c r="L107" s="120">
        <v>186.33716287122252</v>
      </c>
    </row>
    <row r="108" spans="1:12" ht="15" customHeight="1" x14ac:dyDescent="0.2">
      <c r="A108" s="11" t="s">
        <v>341</v>
      </c>
      <c r="B108" s="122">
        <v>133.15937960480076</v>
      </c>
      <c r="C108" s="120">
        <v>612.90606771036983</v>
      </c>
      <c r="D108" s="123">
        <v>92.428721648368096</v>
      </c>
      <c r="E108" s="120">
        <v>262.6797211589938</v>
      </c>
      <c r="F108" s="120">
        <v>89.14442008154046</v>
      </c>
      <c r="G108" s="120">
        <v>20.298190684163281</v>
      </c>
      <c r="H108" s="120">
        <v>262.42539145289561</v>
      </c>
      <c r="I108" s="120">
        <v>362.43612462412574</v>
      </c>
      <c r="J108" s="120">
        <v>114.87799528805004</v>
      </c>
      <c r="K108" s="120">
        <v>67.751235547012911</v>
      </c>
      <c r="L108" s="120">
        <v>216.64061125489548</v>
      </c>
    </row>
    <row r="109" spans="1:12" ht="15" customHeight="1" x14ac:dyDescent="0.2">
      <c r="A109" s="11" t="s">
        <v>342</v>
      </c>
      <c r="B109" s="122">
        <v>139.50227753472473</v>
      </c>
      <c r="C109" s="120">
        <v>339.8022086838198</v>
      </c>
      <c r="D109" s="123">
        <v>106.9065813482552</v>
      </c>
      <c r="E109" s="120">
        <v>275.992258183415</v>
      </c>
      <c r="F109" s="120">
        <v>88.128292421444229</v>
      </c>
      <c r="G109" s="120">
        <v>21.672036944116705</v>
      </c>
      <c r="H109" s="120">
        <v>262.8781936533656</v>
      </c>
      <c r="I109" s="120">
        <v>352.73324691382368</v>
      </c>
      <c r="J109" s="120">
        <v>109.16498325898402</v>
      </c>
      <c r="K109" s="120">
        <v>81.440209902829238</v>
      </c>
      <c r="L109" s="120">
        <v>224.48452146504238</v>
      </c>
    </row>
    <row r="110" spans="1:12" ht="15" customHeight="1" x14ac:dyDescent="0.2">
      <c r="A110" s="11" t="s">
        <v>343</v>
      </c>
      <c r="B110" s="122">
        <v>123.24287806760785</v>
      </c>
      <c r="C110" s="120">
        <v>292.7501103703824</v>
      </c>
      <c r="D110" s="123">
        <v>94.049067356582825</v>
      </c>
      <c r="E110" s="120">
        <v>258.04991268850057</v>
      </c>
      <c r="F110" s="120">
        <v>88.460519730051459</v>
      </c>
      <c r="G110" s="120">
        <v>18.955490399482965</v>
      </c>
      <c r="H110" s="120">
        <v>258.0654754690409</v>
      </c>
      <c r="I110" s="120">
        <v>354.88502613650178</v>
      </c>
      <c r="J110" s="120">
        <v>109.60643148180942</v>
      </c>
      <c r="K110" s="120">
        <v>87.28306455169411</v>
      </c>
      <c r="L110" s="120">
        <v>211.94522343911757</v>
      </c>
    </row>
    <row r="111" spans="1:12" ht="15" customHeight="1" x14ac:dyDescent="0.2">
      <c r="A111" s="11" t="s">
        <v>344</v>
      </c>
      <c r="B111" s="122">
        <v>121.30423545910821</v>
      </c>
      <c r="C111" s="120">
        <v>469.16061474731794</v>
      </c>
      <c r="D111" s="123">
        <v>92.395490884655999</v>
      </c>
      <c r="E111" s="120">
        <v>225.56046693790552</v>
      </c>
      <c r="F111" s="120">
        <v>82.121892976656554</v>
      </c>
      <c r="G111" s="120">
        <v>21.164338036831211</v>
      </c>
      <c r="H111" s="120">
        <v>250.27906661552893</v>
      </c>
      <c r="I111" s="120">
        <v>350.96808202454048</v>
      </c>
      <c r="J111" s="120">
        <v>103.14475725817834</v>
      </c>
      <c r="K111" s="120">
        <v>124.25721542834845</v>
      </c>
      <c r="L111" s="120">
        <v>187.35302703327577</v>
      </c>
    </row>
    <row r="112" spans="1:12" ht="15" customHeight="1" x14ac:dyDescent="0.2">
      <c r="A112" s="11" t="s">
        <v>345</v>
      </c>
      <c r="B112" s="122">
        <v>106.91167437482528</v>
      </c>
      <c r="C112" s="120">
        <v>437.02718517237122</v>
      </c>
      <c r="D112" s="123">
        <v>83.639778017689821</v>
      </c>
      <c r="E112" s="120">
        <v>197.61786144965063</v>
      </c>
      <c r="F112" s="120">
        <v>72.322528770656518</v>
      </c>
      <c r="G112" s="120">
        <v>14.512315375642645</v>
      </c>
      <c r="H112" s="120">
        <v>205.83293613713141</v>
      </c>
      <c r="I112" s="120">
        <v>246.16942199089758</v>
      </c>
      <c r="J112" s="120">
        <v>90.661091799784685</v>
      </c>
      <c r="K112" s="120">
        <v>47.214631687488463</v>
      </c>
      <c r="L112" s="120">
        <v>164.05493167459608</v>
      </c>
    </row>
    <row r="113" spans="1:12" ht="15" customHeight="1" x14ac:dyDescent="0.2">
      <c r="A113" s="11" t="s">
        <v>346</v>
      </c>
      <c r="B113" s="122">
        <v>139.40272570480641</v>
      </c>
      <c r="C113" s="120">
        <v>709.26321858886661</v>
      </c>
      <c r="D113" s="123">
        <v>90.643775764487827</v>
      </c>
      <c r="E113" s="120">
        <v>280.12463591704096</v>
      </c>
      <c r="F113" s="120">
        <v>67.001738010585882</v>
      </c>
      <c r="G113" s="120">
        <v>16.694038705143505</v>
      </c>
      <c r="H113" s="120">
        <v>186.56999851420238</v>
      </c>
      <c r="I113" s="120">
        <v>220.46641506491383</v>
      </c>
      <c r="J113" s="120">
        <v>87.713750830845512</v>
      </c>
      <c r="K113" s="120">
        <v>90.398201294768171</v>
      </c>
      <c r="L113" s="120">
        <v>221.70605585991757</v>
      </c>
    </row>
    <row r="114" spans="1:12" ht="15" customHeight="1" x14ac:dyDescent="0.2">
      <c r="A114" s="10" t="s">
        <v>373</v>
      </c>
      <c r="B114" s="12">
        <v>136.69472385291712</v>
      </c>
      <c r="C114" s="12">
        <v>597.86490095963302</v>
      </c>
      <c r="D114" s="12">
        <v>98.166503060216058</v>
      </c>
      <c r="E114" s="12">
        <v>263.70358285430916</v>
      </c>
      <c r="F114" s="12">
        <v>77.332515456069089</v>
      </c>
      <c r="G114" s="12">
        <v>18.592083218962401</v>
      </c>
      <c r="H114" s="12">
        <v>199.63273670742777</v>
      </c>
      <c r="I114" s="12">
        <v>242.97191361183323</v>
      </c>
      <c r="J114" s="12">
        <v>96.091816539706414</v>
      </c>
      <c r="K114" s="12">
        <v>125.350961904879</v>
      </c>
      <c r="L114" s="12">
        <v>212.43249374462022</v>
      </c>
    </row>
    <row r="115" spans="1:12" ht="15" customHeight="1" x14ac:dyDescent="0.2">
      <c r="A115" s="10" t="s">
        <v>374</v>
      </c>
      <c r="B115" s="12">
        <v>115.30821136385184</v>
      </c>
      <c r="C115" s="12">
        <v>359.78504693080328</v>
      </c>
      <c r="D115" s="12">
        <v>81.496976818117531</v>
      </c>
      <c r="E115" s="12">
        <v>221.26143741130161</v>
      </c>
      <c r="F115" s="12">
        <v>74.439924032951978</v>
      </c>
      <c r="G115" s="12">
        <v>22.058737281263731</v>
      </c>
      <c r="H115" s="12">
        <v>219.63067298078593</v>
      </c>
      <c r="I115" s="12">
        <v>194.6556777716369</v>
      </c>
      <c r="J115" s="12">
        <v>86.759732254813827</v>
      </c>
      <c r="K115" s="12">
        <v>102.81768621270332</v>
      </c>
      <c r="L115" s="12">
        <v>179.84035019745582</v>
      </c>
    </row>
    <row r="116" spans="1:12" ht="15" customHeight="1" x14ac:dyDescent="0.2">
      <c r="A116" s="10" t="s">
        <v>375</v>
      </c>
      <c r="B116" s="12">
        <v>138.63488384903022</v>
      </c>
      <c r="C116" s="12">
        <v>595.83401662742051</v>
      </c>
      <c r="D116" s="12">
        <v>108.99264289385277</v>
      </c>
      <c r="E116" s="12">
        <v>288.389156695167</v>
      </c>
      <c r="F116" s="12">
        <v>74.786849376765716</v>
      </c>
      <c r="G116" s="12">
        <v>24.246577194579</v>
      </c>
      <c r="H116" s="12">
        <v>227.02766822813436</v>
      </c>
      <c r="I116" s="12">
        <v>166.4402265347228</v>
      </c>
      <c r="J116" s="12">
        <v>89.65589954240518</v>
      </c>
      <c r="K116" s="12">
        <v>60.661972682593479</v>
      </c>
      <c r="L116" s="12">
        <v>227.94310807395308</v>
      </c>
    </row>
    <row r="117" spans="1:12" ht="15" customHeight="1" x14ac:dyDescent="0.2">
      <c r="A117" s="166" t="s">
        <v>397</v>
      </c>
      <c r="B117" s="191">
        <v>102.26424269398514</v>
      </c>
      <c r="C117" s="191">
        <v>318.43663647396249</v>
      </c>
      <c r="D117" s="191">
        <v>74.365268751389522</v>
      </c>
      <c r="E117" s="191">
        <v>246.94198779512683</v>
      </c>
      <c r="F117" s="191">
        <v>66.712245157020121</v>
      </c>
      <c r="G117" s="191">
        <v>19.661266967110866</v>
      </c>
      <c r="H117" s="191">
        <v>200.27863834545047</v>
      </c>
      <c r="I117" s="191">
        <v>217.56471986121468</v>
      </c>
      <c r="J117" s="191">
        <v>83.119145802620594</v>
      </c>
      <c r="K117" s="191">
        <v>54.156887904326943</v>
      </c>
      <c r="L117" s="191">
        <v>196.91808491793341</v>
      </c>
    </row>
    <row r="118" spans="1:12" ht="15" customHeight="1" x14ac:dyDescent="0.2">
      <c r="A118" s="76" t="s">
        <v>321</v>
      </c>
      <c r="K118" s="19" t="s">
        <v>336</v>
      </c>
    </row>
    <row r="119" spans="1:12" ht="15" customHeight="1" x14ac:dyDescent="0.2">
      <c r="A119" s="76" t="s">
        <v>1</v>
      </c>
    </row>
  </sheetData>
  <mergeCells count="6">
    <mergeCell ref="A4:L4"/>
    <mergeCell ref="A6:A8"/>
    <mergeCell ref="L6:L8"/>
    <mergeCell ref="B7:E7"/>
    <mergeCell ref="F7:J7"/>
    <mergeCell ref="K7:K8"/>
  </mergeCells>
  <phoneticPr fontId="19" type="noConversion"/>
  <hyperlinks>
    <hyperlink ref="L2" location="Contents!A1" display="Back to Contents" xr:uid="{FBBA6FCC-838B-4409-8A96-631ADAE78B1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425A6-7409-4BC4-A0EF-164C96435D74}">
  <dimension ref="A1:O126"/>
  <sheetViews>
    <sheetView zoomScaleNormal="100" workbookViewId="0">
      <selection activeCell="O2" sqref="O2"/>
    </sheetView>
  </sheetViews>
  <sheetFormatPr defaultRowHeight="12.75" x14ac:dyDescent="0.2"/>
  <cols>
    <col min="1" max="1" width="13.7109375" style="76" customWidth="1"/>
    <col min="2" max="2" width="15.5703125" style="19" customWidth="1"/>
    <col min="3" max="15" width="16.28515625" style="19" customWidth="1"/>
    <col min="16" max="16" width="5.5703125" style="19" customWidth="1"/>
    <col min="17" max="16384" width="9.140625" style="19"/>
  </cols>
  <sheetData>
    <row r="1" spans="1:15" s="16" customFormat="1" ht="15" customHeight="1" x14ac:dyDescent="0.25">
      <c r="A1" s="13" t="s">
        <v>29</v>
      </c>
      <c r="O1" s="15" t="s">
        <v>272</v>
      </c>
    </row>
    <row r="2" spans="1:15" s="16" customFormat="1" ht="15" customHeight="1" x14ac:dyDescent="0.25">
      <c r="A2" s="54" t="s">
        <v>286</v>
      </c>
      <c r="O2" s="17" t="s">
        <v>10</v>
      </c>
    </row>
    <row r="3" spans="1:15" s="16" customFormat="1" ht="15" customHeight="1" x14ac:dyDescent="0.25">
      <c r="A3" s="54"/>
      <c r="O3" s="17"/>
    </row>
    <row r="4" spans="1:15" s="16" customFormat="1" ht="15" customHeight="1" x14ac:dyDescent="0.25">
      <c r="A4" s="267" t="s">
        <v>271</v>
      </c>
      <c r="B4" s="267"/>
      <c r="C4" s="267"/>
      <c r="D4" s="267"/>
      <c r="E4" s="267"/>
      <c r="F4" s="267"/>
      <c r="G4" s="267"/>
      <c r="H4" s="267"/>
      <c r="I4" s="267"/>
      <c r="J4" s="267"/>
      <c r="K4" s="267"/>
      <c r="L4" s="267"/>
      <c r="M4" s="267"/>
      <c r="N4" s="267"/>
      <c r="O4" s="267"/>
    </row>
    <row r="5" spans="1:15" s="16" customFormat="1" ht="15" customHeight="1" x14ac:dyDescent="0.25">
      <c r="A5" s="119" t="s">
        <v>117</v>
      </c>
      <c r="O5" s="116" t="s">
        <v>236</v>
      </c>
    </row>
    <row r="6" spans="1:15" ht="15" customHeight="1" x14ac:dyDescent="0.2">
      <c r="A6" s="268" t="s">
        <v>3</v>
      </c>
      <c r="B6" s="117" t="s">
        <v>251</v>
      </c>
      <c r="C6" s="117"/>
      <c r="D6" s="117"/>
      <c r="E6" s="117"/>
      <c r="F6" s="117"/>
      <c r="G6" s="117"/>
      <c r="H6" s="117"/>
      <c r="I6" s="117"/>
      <c r="J6" s="117"/>
      <c r="K6" s="117"/>
      <c r="L6" s="117"/>
      <c r="M6" s="117"/>
      <c r="N6" s="117"/>
      <c r="O6" s="227" t="s">
        <v>265</v>
      </c>
    </row>
    <row r="7" spans="1:15" ht="15" customHeight="1" x14ac:dyDescent="0.2">
      <c r="A7" s="268"/>
      <c r="B7" s="269" t="s">
        <v>252</v>
      </c>
      <c r="C7" s="270"/>
      <c r="D7" s="271"/>
      <c r="E7" s="269" t="s">
        <v>255</v>
      </c>
      <c r="F7" s="270"/>
      <c r="G7" s="270"/>
      <c r="H7" s="270"/>
      <c r="I7" s="270"/>
      <c r="J7" s="271"/>
      <c r="K7" s="269" t="s">
        <v>261</v>
      </c>
      <c r="L7" s="270"/>
      <c r="M7" s="270"/>
      <c r="N7" s="271"/>
      <c r="O7" s="228"/>
    </row>
    <row r="8" spans="1:15" ht="30" customHeight="1" x14ac:dyDescent="0.2">
      <c r="A8" s="268"/>
      <c r="B8" s="118" t="s">
        <v>253</v>
      </c>
      <c r="C8" s="118" t="s">
        <v>254</v>
      </c>
      <c r="D8" s="118" t="s">
        <v>2</v>
      </c>
      <c r="E8" s="118" t="s">
        <v>256</v>
      </c>
      <c r="F8" s="118" t="s">
        <v>257</v>
      </c>
      <c r="G8" s="118" t="s">
        <v>258</v>
      </c>
      <c r="H8" s="118" t="s">
        <v>259</v>
      </c>
      <c r="I8" s="118" t="s">
        <v>260</v>
      </c>
      <c r="J8" s="118" t="s">
        <v>2</v>
      </c>
      <c r="K8" s="118" t="s">
        <v>262</v>
      </c>
      <c r="L8" s="118" t="s">
        <v>263</v>
      </c>
      <c r="M8" s="118" t="s">
        <v>264</v>
      </c>
      <c r="N8" s="118" t="s">
        <v>2</v>
      </c>
      <c r="O8" s="229"/>
    </row>
    <row r="9" spans="1:15" ht="15" customHeight="1" x14ac:dyDescent="0.2">
      <c r="A9" s="35" t="s">
        <v>48</v>
      </c>
      <c r="B9" s="12">
        <v>127.38361320984764</v>
      </c>
      <c r="C9" s="12">
        <v>128.68660917913849</v>
      </c>
      <c r="D9" s="12">
        <v>127.98999478353635</v>
      </c>
      <c r="E9" s="12">
        <v>133.12126580174615</v>
      </c>
      <c r="F9" s="12">
        <v>126.76449095450256</v>
      </c>
      <c r="G9" s="12">
        <v>160.24382062279736</v>
      </c>
      <c r="H9" s="12">
        <v>157.93311713253564</v>
      </c>
      <c r="I9" s="12">
        <v>138.88110626995356</v>
      </c>
      <c r="J9" s="12">
        <v>140.15129821767357</v>
      </c>
      <c r="K9" s="12">
        <v>264.49163841844171</v>
      </c>
      <c r="L9" s="12">
        <v>50.419222510050986</v>
      </c>
      <c r="M9" s="12">
        <v>147.65940644566152</v>
      </c>
      <c r="N9" s="12">
        <v>183.42331189385106</v>
      </c>
      <c r="O9" s="12">
        <v>145.46477211920981</v>
      </c>
    </row>
    <row r="10" spans="1:15" ht="15" customHeight="1" x14ac:dyDescent="0.2">
      <c r="A10" s="34" t="s">
        <v>49</v>
      </c>
      <c r="B10" s="120">
        <v>125.52748414795273</v>
      </c>
      <c r="C10" s="120">
        <v>130.38772013070863</v>
      </c>
      <c r="D10" s="120">
        <v>127.78931581372979</v>
      </c>
      <c r="E10" s="120">
        <v>134.15632730135138</v>
      </c>
      <c r="F10" s="120">
        <v>153.90772071387843</v>
      </c>
      <c r="G10" s="120">
        <v>74.515097572749937</v>
      </c>
      <c r="H10" s="120">
        <v>177.27120002573963</v>
      </c>
      <c r="I10" s="120">
        <v>134.24415663593172</v>
      </c>
      <c r="J10" s="120">
        <v>152.02330548929913</v>
      </c>
      <c r="K10" s="120">
        <v>358.98327885895191</v>
      </c>
      <c r="L10" s="120">
        <v>46.656934301610534</v>
      </c>
      <c r="M10" s="120">
        <v>154.54688062743222</v>
      </c>
      <c r="N10" s="120">
        <v>230.57752654126935</v>
      </c>
      <c r="O10" s="120">
        <v>162.24266040488541</v>
      </c>
    </row>
    <row r="11" spans="1:15" ht="15" customHeight="1" x14ac:dyDescent="0.2">
      <c r="A11" s="35" t="s">
        <v>50</v>
      </c>
      <c r="B11" s="12">
        <v>133.38482508187366</v>
      </c>
      <c r="C11" s="12">
        <v>71.935786090995705</v>
      </c>
      <c r="D11" s="12">
        <v>104.78798683898533</v>
      </c>
      <c r="E11" s="12">
        <v>106.83297922174519</v>
      </c>
      <c r="F11" s="12">
        <v>142.25306496448752</v>
      </c>
      <c r="G11" s="12">
        <v>68.142375189890274</v>
      </c>
      <c r="H11" s="12">
        <v>142.82378253343606</v>
      </c>
      <c r="I11" s="12">
        <v>90.385091922251164</v>
      </c>
      <c r="J11" s="12">
        <v>121.1089635548574</v>
      </c>
      <c r="K11" s="12">
        <v>265.40376813833421</v>
      </c>
      <c r="L11" s="12">
        <v>19.792918963590818</v>
      </c>
      <c r="M11" s="12">
        <v>99.166422536678326</v>
      </c>
      <c r="N11" s="12">
        <v>162.77375938325108</v>
      </c>
      <c r="O11" s="12">
        <v>125.97668052260799</v>
      </c>
    </row>
    <row r="12" spans="1:15" ht="15" customHeight="1" x14ac:dyDescent="0.2">
      <c r="A12" s="34" t="s">
        <v>51</v>
      </c>
      <c r="B12" s="120">
        <v>124.06356843360602</v>
      </c>
      <c r="C12" s="120">
        <v>79.584422366339069</v>
      </c>
      <c r="D12" s="120">
        <v>103.3640918241141</v>
      </c>
      <c r="E12" s="120">
        <v>124.64809837633119</v>
      </c>
      <c r="F12" s="120">
        <v>125.45110650270317</v>
      </c>
      <c r="G12" s="120">
        <v>96.608495506426138</v>
      </c>
      <c r="H12" s="120">
        <v>128.19407172055881</v>
      </c>
      <c r="I12" s="120">
        <v>99.221683170605431</v>
      </c>
      <c r="J12" s="120">
        <v>121.91219785729258</v>
      </c>
      <c r="K12" s="120">
        <v>310.73981024468304</v>
      </c>
      <c r="L12" s="120">
        <v>16.53106952106992</v>
      </c>
      <c r="M12" s="120">
        <v>85.762213908916166</v>
      </c>
      <c r="N12" s="120">
        <v>180.09229130363966</v>
      </c>
      <c r="O12" s="120">
        <v>129.75826745657403</v>
      </c>
    </row>
    <row r="13" spans="1:15" ht="15" customHeight="1" x14ac:dyDescent="0.2">
      <c r="A13" s="35" t="s">
        <v>362</v>
      </c>
      <c r="B13" s="12">
        <v>128.25925187883607</v>
      </c>
      <c r="C13" s="12">
        <v>101.73978594256063</v>
      </c>
      <c r="D13" s="12">
        <v>115.91775899104597</v>
      </c>
      <c r="E13" s="12">
        <v>128.54786176634201</v>
      </c>
      <c r="F13" s="12">
        <v>154.09587827316875</v>
      </c>
      <c r="G13" s="12">
        <v>93.19939720075844</v>
      </c>
      <c r="H13" s="12">
        <v>166.86719411600092</v>
      </c>
      <c r="I13" s="12">
        <v>142.80742106644632</v>
      </c>
      <c r="J13" s="12">
        <v>143.21655527643949</v>
      </c>
      <c r="K13" s="12">
        <v>371.74857980219207</v>
      </c>
      <c r="L13" s="12">
        <v>25.809200344761791</v>
      </c>
      <c r="M13" s="12">
        <v>111.36843334180143</v>
      </c>
      <c r="N13" s="12">
        <v>219.37708397797891</v>
      </c>
      <c r="O13" s="12">
        <v>152.92984098793053</v>
      </c>
    </row>
    <row r="14" spans="1:15" ht="15" customHeight="1" x14ac:dyDescent="0.2">
      <c r="A14" s="34" t="s">
        <v>337</v>
      </c>
      <c r="B14" s="120">
        <v>148.10766339054985</v>
      </c>
      <c r="C14" s="120">
        <v>175.63396896144624</v>
      </c>
      <c r="D14" s="120">
        <v>160.9177141376754</v>
      </c>
      <c r="E14" s="120">
        <v>136.57856215846223</v>
      </c>
      <c r="F14" s="120">
        <v>157.19435354428106</v>
      </c>
      <c r="G14" s="120">
        <v>151.93928857679435</v>
      </c>
      <c r="H14" s="120">
        <v>176.74065346529315</v>
      </c>
      <c r="I14" s="120">
        <v>154.22558517419139</v>
      </c>
      <c r="J14" s="120">
        <v>155.00690497100567</v>
      </c>
      <c r="K14" s="120">
        <v>395.37267331230646</v>
      </c>
      <c r="L14" s="120">
        <v>67.899366231643057</v>
      </c>
      <c r="M14" s="120">
        <v>129.9813021624889</v>
      </c>
      <c r="N14" s="120">
        <v>245.50435416558844</v>
      </c>
      <c r="O14" s="120">
        <v>173.68371400298963</v>
      </c>
    </row>
    <row r="15" spans="1:15" ht="15" customHeight="1" x14ac:dyDescent="0.2">
      <c r="A15" s="8"/>
      <c r="B15" s="114"/>
      <c r="C15" s="114"/>
      <c r="D15" s="114"/>
      <c r="E15" s="114"/>
      <c r="F15" s="114"/>
      <c r="G15" s="114"/>
      <c r="H15" s="114"/>
      <c r="I15" s="114"/>
      <c r="J15" s="114"/>
      <c r="K15" s="114"/>
      <c r="L15" s="114"/>
      <c r="M15" s="114"/>
      <c r="N15" s="114"/>
      <c r="O15" s="120"/>
    </row>
    <row r="16" spans="1:15" ht="15" customHeight="1" x14ac:dyDescent="0.2">
      <c r="A16" s="9" t="s">
        <v>13</v>
      </c>
      <c r="B16" s="115">
        <v>141.42228019699732</v>
      </c>
      <c r="C16" s="115">
        <v>147.41747924565666</v>
      </c>
      <c r="D16" s="115">
        <v>144.212295146684</v>
      </c>
      <c r="E16" s="115">
        <v>164.80734327668597</v>
      </c>
      <c r="F16" s="115">
        <v>132.30204268099598</v>
      </c>
      <c r="G16" s="115">
        <v>58.738002648462292</v>
      </c>
      <c r="H16" s="115">
        <v>154.77753476833948</v>
      </c>
      <c r="I16" s="115">
        <v>116.99430643804227</v>
      </c>
      <c r="J16" s="115">
        <v>149.65725582883638</v>
      </c>
      <c r="K16" s="115">
        <v>273.8692770408623</v>
      </c>
      <c r="L16" s="115">
        <v>70.952699587342877</v>
      </c>
      <c r="M16" s="115">
        <v>157.24785165644064</v>
      </c>
      <c r="N16" s="115">
        <v>195.26748302206258</v>
      </c>
      <c r="O16" s="115">
        <v>156.64725278091407</v>
      </c>
    </row>
    <row r="17" spans="1:15" ht="15" customHeight="1" x14ac:dyDescent="0.2">
      <c r="A17" s="9" t="s">
        <v>14</v>
      </c>
      <c r="B17" s="115">
        <v>114.72369790730018</v>
      </c>
      <c r="C17" s="115">
        <v>133.49624467901964</v>
      </c>
      <c r="D17" s="115">
        <v>123.45996933243363</v>
      </c>
      <c r="E17" s="115">
        <v>85.560563560452991</v>
      </c>
      <c r="F17" s="115">
        <v>92.801468561810964</v>
      </c>
      <c r="G17" s="115">
        <v>178.59016617723023</v>
      </c>
      <c r="H17" s="115">
        <v>141.05794197577433</v>
      </c>
      <c r="I17" s="115">
        <v>107.28941634355208</v>
      </c>
      <c r="J17" s="115">
        <v>103.48541616531412</v>
      </c>
      <c r="K17" s="115">
        <v>198.24897163717449</v>
      </c>
      <c r="L17" s="115">
        <v>59.987797983795041</v>
      </c>
      <c r="M17" s="115">
        <v>117.0411417110143</v>
      </c>
      <c r="N17" s="115">
        <v>144.16069553330871</v>
      </c>
      <c r="O17" s="115">
        <v>114.52653820420629</v>
      </c>
    </row>
    <row r="18" spans="1:15" ht="15" customHeight="1" x14ac:dyDescent="0.2">
      <c r="A18" s="9" t="s">
        <v>15</v>
      </c>
      <c r="B18" s="115">
        <v>121.19778109051082</v>
      </c>
      <c r="C18" s="115">
        <v>114.22611242776675</v>
      </c>
      <c r="D18" s="115">
        <v>117.95334172570482</v>
      </c>
      <c r="E18" s="115">
        <v>149.97054177170364</v>
      </c>
      <c r="F18" s="115">
        <v>133.08547736280553</v>
      </c>
      <c r="G18" s="115">
        <v>76.065061256915214</v>
      </c>
      <c r="H18" s="115">
        <v>166.90579218031175</v>
      </c>
      <c r="I18" s="115">
        <v>194.94734293451788</v>
      </c>
      <c r="J18" s="115">
        <v>154.80470341971946</v>
      </c>
      <c r="K18" s="115">
        <v>273.25180844251173</v>
      </c>
      <c r="L18" s="115">
        <v>28.558678749132117</v>
      </c>
      <c r="M18" s="115">
        <v>161.85005087747439</v>
      </c>
      <c r="N18" s="115">
        <v>187.20126048966836</v>
      </c>
      <c r="O18" s="115">
        <v>153.16147594728736</v>
      </c>
    </row>
    <row r="19" spans="1:15" ht="15" customHeight="1" x14ac:dyDescent="0.2">
      <c r="A19" s="9" t="s">
        <v>16</v>
      </c>
      <c r="B19" s="115">
        <v>132.19069364458235</v>
      </c>
      <c r="C19" s="115">
        <v>119.60660036411083</v>
      </c>
      <c r="D19" s="115">
        <v>126.33437292932291</v>
      </c>
      <c r="E19" s="115">
        <v>132.14661459814195</v>
      </c>
      <c r="F19" s="115">
        <v>148.86897521239783</v>
      </c>
      <c r="G19" s="115">
        <v>327.58205240858166</v>
      </c>
      <c r="H19" s="115">
        <v>168.99119960571696</v>
      </c>
      <c r="I19" s="115">
        <v>136.29335936370197</v>
      </c>
      <c r="J19" s="115">
        <v>152.65781745682435</v>
      </c>
      <c r="K19" s="115">
        <v>312.59649655321806</v>
      </c>
      <c r="L19" s="115">
        <v>42.177713719933905</v>
      </c>
      <c r="M19" s="115">
        <v>154.49858153771675</v>
      </c>
      <c r="N19" s="115">
        <v>207.06380853036453</v>
      </c>
      <c r="O19" s="115">
        <v>157.52382154443157</v>
      </c>
    </row>
    <row r="20" spans="1:15" ht="15" customHeight="1" x14ac:dyDescent="0.2">
      <c r="A20" s="8" t="s">
        <v>17</v>
      </c>
      <c r="B20" s="114">
        <v>162.19863865511056</v>
      </c>
      <c r="C20" s="114">
        <v>124.65079351422537</v>
      </c>
      <c r="D20" s="114">
        <v>144.7248152805528</v>
      </c>
      <c r="E20" s="114">
        <v>161.63221978492061</v>
      </c>
      <c r="F20" s="114">
        <v>154.22725704969352</v>
      </c>
      <c r="G20" s="114">
        <v>78.472740407004082</v>
      </c>
      <c r="H20" s="114">
        <v>195.27088195606871</v>
      </c>
      <c r="I20" s="114">
        <v>124.2850754987923</v>
      </c>
      <c r="J20" s="114">
        <v>163.7445886028768</v>
      </c>
      <c r="K20" s="114">
        <v>348.62690770134304</v>
      </c>
      <c r="L20" s="114">
        <v>44.112020444917768</v>
      </c>
      <c r="M20" s="114">
        <v>150.90691336750356</v>
      </c>
      <c r="N20" s="114">
        <v>223.83359217954322</v>
      </c>
      <c r="O20" s="114">
        <v>171.07173650151148</v>
      </c>
    </row>
    <row r="21" spans="1:15" ht="15" customHeight="1" x14ac:dyDescent="0.2">
      <c r="A21" s="8" t="s">
        <v>18</v>
      </c>
      <c r="B21" s="114">
        <v>123.27479180261264</v>
      </c>
      <c r="C21" s="114">
        <v>131.64081752270661</v>
      </c>
      <c r="D21" s="114">
        <v>127.16812989515604</v>
      </c>
      <c r="E21" s="114">
        <v>124.18904837172472</v>
      </c>
      <c r="F21" s="114">
        <v>156.7982296813046</v>
      </c>
      <c r="G21" s="114">
        <v>127.6441490477015</v>
      </c>
      <c r="H21" s="114">
        <v>188.98382963635913</v>
      </c>
      <c r="I21" s="114">
        <v>122.54234112410542</v>
      </c>
      <c r="J21" s="114">
        <v>150.26222034263259</v>
      </c>
      <c r="K21" s="114">
        <v>312.20900452606298</v>
      </c>
      <c r="L21" s="114">
        <v>50.705460082018156</v>
      </c>
      <c r="M21" s="114">
        <v>161.60739167398424</v>
      </c>
      <c r="N21" s="114">
        <v>210.86047402191562</v>
      </c>
      <c r="O21" s="114">
        <v>156.99678665176086</v>
      </c>
    </row>
    <row r="22" spans="1:15" ht="15" customHeight="1" x14ac:dyDescent="0.2">
      <c r="A22" s="8" t="s">
        <v>19</v>
      </c>
      <c r="B22" s="114">
        <v>89.881780852058526</v>
      </c>
      <c r="C22" s="114">
        <v>145.78996014893724</v>
      </c>
      <c r="D22" s="114">
        <v>115.90004226123339</v>
      </c>
      <c r="E22" s="114">
        <v>110.58514097199657</v>
      </c>
      <c r="F22" s="114">
        <v>143.72245336954208</v>
      </c>
      <c r="G22" s="114">
        <v>10.653444401372928</v>
      </c>
      <c r="H22" s="114">
        <v>153.4967356493845</v>
      </c>
      <c r="I22" s="114">
        <v>142.53865917115678</v>
      </c>
      <c r="J22" s="114">
        <v>134.35942994286401</v>
      </c>
      <c r="K22" s="114">
        <v>346.78626856234865</v>
      </c>
      <c r="L22" s="114">
        <v>49.022414072160302</v>
      </c>
      <c r="M22" s="114">
        <v>148.18843097408816</v>
      </c>
      <c r="N22" s="114">
        <v>223.3185619672237</v>
      </c>
      <c r="O22" s="114">
        <v>147.93039565321951</v>
      </c>
    </row>
    <row r="23" spans="1:15" ht="15" customHeight="1" x14ac:dyDescent="0.2">
      <c r="A23" s="8" t="s">
        <v>20</v>
      </c>
      <c r="B23" s="114">
        <v>126.7547252820292</v>
      </c>
      <c r="C23" s="114">
        <v>119.46930933696528</v>
      </c>
      <c r="D23" s="114">
        <v>123.36427581797687</v>
      </c>
      <c r="E23" s="114">
        <v>140.21890007676359</v>
      </c>
      <c r="F23" s="114">
        <v>160.88294275497364</v>
      </c>
      <c r="G23" s="114">
        <v>81.290056434921311</v>
      </c>
      <c r="H23" s="114">
        <v>171.33335286114621</v>
      </c>
      <c r="I23" s="114">
        <v>147.61055074967229</v>
      </c>
      <c r="J23" s="114">
        <v>159.7269830688231</v>
      </c>
      <c r="K23" s="114">
        <v>428.31093464605283</v>
      </c>
      <c r="L23" s="114">
        <v>42.787842607345873</v>
      </c>
      <c r="M23" s="114">
        <v>157.48478649415304</v>
      </c>
      <c r="N23" s="114">
        <v>264.297477996395</v>
      </c>
      <c r="O23" s="114">
        <v>172.97172281304984</v>
      </c>
    </row>
    <row r="24" spans="1:15" ht="15" customHeight="1" x14ac:dyDescent="0.2">
      <c r="A24" s="9" t="s">
        <v>21</v>
      </c>
      <c r="B24" s="115">
        <v>160.85367876158895</v>
      </c>
      <c r="C24" s="115">
        <v>102.48492155151867</v>
      </c>
      <c r="D24" s="115">
        <v>133.69032623751471</v>
      </c>
      <c r="E24" s="115">
        <v>137.83732085690394</v>
      </c>
      <c r="F24" s="115">
        <v>168.28320209444647</v>
      </c>
      <c r="G24" s="115">
        <v>27.290379343399195</v>
      </c>
      <c r="H24" s="115">
        <v>170.39815829802174</v>
      </c>
      <c r="I24" s="115">
        <v>102.56435936066644</v>
      </c>
      <c r="J24" s="115">
        <v>150.16659221388156</v>
      </c>
      <c r="K24" s="115">
        <v>376.29429893046063</v>
      </c>
      <c r="L24" s="115">
        <v>34.383841311776308</v>
      </c>
      <c r="M24" s="115">
        <v>148.50503263907675</v>
      </c>
      <c r="N24" s="115">
        <v>234.54388859599683</v>
      </c>
      <c r="O24" s="115">
        <v>163.04072298084273</v>
      </c>
    </row>
    <row r="25" spans="1:15" ht="15" customHeight="1" x14ac:dyDescent="0.2">
      <c r="A25" s="9" t="s">
        <v>22</v>
      </c>
      <c r="B25" s="115">
        <v>110.14850700045891</v>
      </c>
      <c r="C25" s="115">
        <v>65.776266395136346</v>
      </c>
      <c r="D25" s="115">
        <v>89.498781505918672</v>
      </c>
      <c r="E25" s="115">
        <v>92.206761166382293</v>
      </c>
      <c r="F25" s="115">
        <v>138.56972525362494</v>
      </c>
      <c r="G25" s="115">
        <v>34.475761739369183</v>
      </c>
      <c r="H25" s="115">
        <v>143.54126982283935</v>
      </c>
      <c r="I25" s="115">
        <v>65.637382581192355</v>
      </c>
      <c r="J25" s="115">
        <v>112.37722399243323</v>
      </c>
      <c r="K25" s="115">
        <v>260.34605014546338</v>
      </c>
      <c r="L25" s="115">
        <v>16.162477383956077</v>
      </c>
      <c r="M25" s="115">
        <v>90.893240991604713</v>
      </c>
      <c r="N25" s="115">
        <v>157.06377429504059</v>
      </c>
      <c r="O25" s="115">
        <v>116.2459168619456</v>
      </c>
    </row>
    <row r="26" spans="1:15" ht="15" customHeight="1" x14ac:dyDescent="0.2">
      <c r="A26" s="9" t="s">
        <v>23</v>
      </c>
      <c r="B26" s="115">
        <v>132.91886558434405</v>
      </c>
      <c r="C26" s="115">
        <v>51.444339501384739</v>
      </c>
      <c r="D26" s="115">
        <v>95.002668983511171</v>
      </c>
      <c r="E26" s="115">
        <v>91.524779750232298</v>
      </c>
      <c r="F26" s="115">
        <v>126.13462751992948</v>
      </c>
      <c r="G26" s="115">
        <v>57.042435071254971</v>
      </c>
      <c r="H26" s="115">
        <v>136.13990925148971</v>
      </c>
      <c r="I26" s="115">
        <v>72.408881188010625</v>
      </c>
      <c r="J26" s="115">
        <v>106.89150484823712</v>
      </c>
      <c r="K26" s="115">
        <v>168.45310946887639</v>
      </c>
      <c r="L26" s="115">
        <v>11.655124460415029</v>
      </c>
      <c r="M26" s="115">
        <v>76.165332160895446</v>
      </c>
      <c r="N26" s="115">
        <v>107.04799169692649</v>
      </c>
      <c r="O26" s="115">
        <v>105.63363265549971</v>
      </c>
    </row>
    <row r="27" spans="1:15" ht="15" customHeight="1" x14ac:dyDescent="0.2">
      <c r="A27" s="9" t="s">
        <v>24</v>
      </c>
      <c r="B27" s="115">
        <v>129.61824898110271</v>
      </c>
      <c r="C27" s="115">
        <v>68.037616915943076</v>
      </c>
      <c r="D27" s="115">
        <v>100.96017062899681</v>
      </c>
      <c r="E27" s="115">
        <v>105.76305511346224</v>
      </c>
      <c r="F27" s="115">
        <v>136.02470498994933</v>
      </c>
      <c r="G27" s="115">
        <v>153.76092460553772</v>
      </c>
      <c r="H27" s="115">
        <v>121.21579276139346</v>
      </c>
      <c r="I27" s="115">
        <v>120.92974455913527</v>
      </c>
      <c r="J27" s="115">
        <v>115.00053316487771</v>
      </c>
      <c r="K27" s="115">
        <v>256.52161400853618</v>
      </c>
      <c r="L27" s="115">
        <v>16.970232698215838</v>
      </c>
      <c r="M27" s="115">
        <v>81.102084355136341</v>
      </c>
      <c r="N27" s="115">
        <v>152.43938294504042</v>
      </c>
      <c r="O27" s="115">
        <v>118.9864495921439</v>
      </c>
    </row>
    <row r="28" spans="1:15" ht="15" customHeight="1" x14ac:dyDescent="0.2">
      <c r="A28" s="8" t="s">
        <v>25</v>
      </c>
      <c r="B28" s="114">
        <v>117.30896161128236</v>
      </c>
      <c r="C28" s="114">
        <v>78.391139369753375</v>
      </c>
      <c r="D28" s="114">
        <v>99.19758532805524</v>
      </c>
      <c r="E28" s="114">
        <v>107.42296534562011</v>
      </c>
      <c r="F28" s="114">
        <v>126.04668403031739</v>
      </c>
      <c r="G28" s="114">
        <v>30.095799322825528</v>
      </c>
      <c r="H28" s="114">
        <v>110.50537258542374</v>
      </c>
      <c r="I28" s="114">
        <v>88.564682789861308</v>
      </c>
      <c r="J28" s="114">
        <v>106.19845353009788</v>
      </c>
      <c r="K28" s="114">
        <v>394.8687406097626</v>
      </c>
      <c r="L28" s="114">
        <v>11.483387667445541</v>
      </c>
      <c r="M28" s="114">
        <v>69.493852304301342</v>
      </c>
      <c r="N28" s="114">
        <v>214.98201802550355</v>
      </c>
      <c r="O28" s="114">
        <v>126.23537929802905</v>
      </c>
    </row>
    <row r="29" spans="1:15" ht="15" customHeight="1" x14ac:dyDescent="0.2">
      <c r="A29" s="8" t="s">
        <v>26</v>
      </c>
      <c r="B29" s="114">
        <v>140.73102846258894</v>
      </c>
      <c r="C29" s="114">
        <v>62.664420213137475</v>
      </c>
      <c r="D29" s="114">
        <v>104.40079116446127</v>
      </c>
      <c r="E29" s="114">
        <v>137.7260447949252</v>
      </c>
      <c r="F29" s="114">
        <v>119.68844594275441</v>
      </c>
      <c r="G29" s="114">
        <v>78.398632355177085</v>
      </c>
      <c r="H29" s="114">
        <v>118.14891749782562</v>
      </c>
      <c r="I29" s="114">
        <v>108.39994656035564</v>
      </c>
      <c r="J29" s="114">
        <v>125.45672962254328</v>
      </c>
      <c r="K29" s="114">
        <v>264.38740153927688</v>
      </c>
      <c r="L29" s="114">
        <v>11.601595680598834</v>
      </c>
      <c r="M29" s="114">
        <v>77.25154190423136</v>
      </c>
      <c r="N29" s="114">
        <v>153.97575706678597</v>
      </c>
      <c r="O29" s="114">
        <v>126.22383575744311</v>
      </c>
    </row>
    <row r="30" spans="1:15" ht="15" customHeight="1" x14ac:dyDescent="0.2">
      <c r="A30" s="8" t="s">
        <v>27</v>
      </c>
      <c r="B30" s="114">
        <v>123.39138618500374</v>
      </c>
      <c r="C30" s="114">
        <v>78.738187575351674</v>
      </c>
      <c r="D30" s="114">
        <v>102.61090989704508</v>
      </c>
      <c r="E30" s="114">
        <v>127.83383449186628</v>
      </c>
      <c r="F30" s="114">
        <v>124.33393930949158</v>
      </c>
      <c r="G30" s="114">
        <v>118.52800140845262</v>
      </c>
      <c r="H30" s="114">
        <v>135.94751008803044</v>
      </c>
      <c r="I30" s="114">
        <v>96.627555092249295</v>
      </c>
      <c r="J30" s="114">
        <v>124.12436034480349</v>
      </c>
      <c r="K30" s="114">
        <v>267.14969872368425</v>
      </c>
      <c r="L30" s="114">
        <v>23.811401658765345</v>
      </c>
      <c r="M30" s="114">
        <v>92.971924877081619</v>
      </c>
      <c r="N30" s="114">
        <v>162.66035216288444</v>
      </c>
      <c r="O30" s="114">
        <v>128.80802561056072</v>
      </c>
    </row>
    <row r="31" spans="1:15" ht="15" customHeight="1" x14ac:dyDescent="0.2">
      <c r="A31" s="8" t="s">
        <v>28</v>
      </c>
      <c r="B31" s="114">
        <v>114.82289747554908</v>
      </c>
      <c r="C31" s="114">
        <v>98.54394230711371</v>
      </c>
      <c r="D31" s="114">
        <v>107.24708090689479</v>
      </c>
      <c r="E31" s="114">
        <v>125.60954887291329</v>
      </c>
      <c r="F31" s="114">
        <v>131.73535672824934</v>
      </c>
      <c r="G31" s="114">
        <v>159.41154893924931</v>
      </c>
      <c r="H31" s="114">
        <v>148.17448671095531</v>
      </c>
      <c r="I31" s="114">
        <v>103.29454823995547</v>
      </c>
      <c r="J31" s="114">
        <v>131.86924793172568</v>
      </c>
      <c r="K31" s="114">
        <v>316.55340010600884</v>
      </c>
      <c r="L31" s="114">
        <v>19.227893077469972</v>
      </c>
      <c r="M31" s="114">
        <v>103.33153655005033</v>
      </c>
      <c r="N31" s="114">
        <v>188.75103795938466</v>
      </c>
      <c r="O31" s="114">
        <v>137.76582916026331</v>
      </c>
    </row>
    <row r="32" spans="1:15" ht="15" customHeight="1" x14ac:dyDescent="0.2">
      <c r="A32" s="9" t="s">
        <v>369</v>
      </c>
      <c r="B32" s="115">
        <v>118.29987527524412</v>
      </c>
      <c r="C32" s="115">
        <v>99.791605109966881</v>
      </c>
      <c r="D32" s="115">
        <v>109.68659154023437</v>
      </c>
      <c r="E32" s="115">
        <v>128.60379571044987</v>
      </c>
      <c r="F32" s="115">
        <v>147.84441756408799</v>
      </c>
      <c r="G32" s="115">
        <v>36.172673634385546</v>
      </c>
      <c r="H32" s="115">
        <v>168.98586768972066</v>
      </c>
      <c r="I32" s="115">
        <v>45.906227055438194</v>
      </c>
      <c r="J32" s="115">
        <v>134.01904437740245</v>
      </c>
      <c r="K32" s="115">
        <v>449.01582393238482</v>
      </c>
      <c r="L32" s="115">
        <v>14.897183974749185</v>
      </c>
      <c r="M32" s="115">
        <v>104.06300032556125</v>
      </c>
      <c r="N32" s="115">
        <v>252.34855186912657</v>
      </c>
      <c r="O32" s="115">
        <v>152.54951084609223</v>
      </c>
    </row>
    <row r="33" spans="1:15" ht="15" customHeight="1" x14ac:dyDescent="0.2">
      <c r="A33" s="9" t="s">
        <v>370</v>
      </c>
      <c r="B33" s="115">
        <v>108.63094133320561</v>
      </c>
      <c r="C33" s="115">
        <v>79.630120172735971</v>
      </c>
      <c r="D33" s="115">
        <v>95.134688092207057</v>
      </c>
      <c r="E33" s="115">
        <v>121.9598992452746</v>
      </c>
      <c r="F33" s="115">
        <v>134.6469730038315</v>
      </c>
      <c r="G33" s="115">
        <v>60.570836854720319</v>
      </c>
      <c r="H33" s="115">
        <v>149.3085897272417</v>
      </c>
      <c r="I33" s="115">
        <v>138.84138156666629</v>
      </c>
      <c r="J33" s="115">
        <v>130.48735167140072</v>
      </c>
      <c r="K33" s="115">
        <v>325.18381859760342</v>
      </c>
      <c r="L33" s="115">
        <v>22.836605565937049</v>
      </c>
      <c r="M33" s="115">
        <v>98.98911428420503</v>
      </c>
      <c r="N33" s="115">
        <v>192.41672240996721</v>
      </c>
      <c r="O33" s="115">
        <v>135.42253388766844</v>
      </c>
    </row>
    <row r="34" spans="1:15" ht="15" customHeight="1" x14ac:dyDescent="0.2">
      <c r="A34" s="9" t="s">
        <v>371</v>
      </c>
      <c r="B34" s="115">
        <v>140.68680271785604</v>
      </c>
      <c r="C34" s="115">
        <v>103.73391110668604</v>
      </c>
      <c r="D34" s="115">
        <v>123.48985576204626</v>
      </c>
      <c r="E34" s="115">
        <v>127.55780568285138</v>
      </c>
      <c r="F34" s="115">
        <v>166.91167301426728</v>
      </c>
      <c r="G34" s="115">
        <v>135.436304338198</v>
      </c>
      <c r="H34" s="115">
        <v>187.24843825365349</v>
      </c>
      <c r="I34" s="115">
        <v>168.89553475626343</v>
      </c>
      <c r="J34" s="115">
        <v>153.91257665774097</v>
      </c>
      <c r="K34" s="115">
        <v>356.77656173547604</v>
      </c>
      <c r="L34" s="115">
        <v>36.171764790893519</v>
      </c>
      <c r="M34" s="115">
        <v>120.46424871092843</v>
      </c>
      <c r="N34" s="115">
        <v>217.03732658499291</v>
      </c>
      <c r="O34" s="115">
        <v>161.71948264727146</v>
      </c>
    </row>
    <row r="35" spans="1:15" ht="15" customHeight="1" x14ac:dyDescent="0.2">
      <c r="A35" s="9" t="s">
        <v>372</v>
      </c>
      <c r="B35" s="115">
        <v>145.41938818903847</v>
      </c>
      <c r="C35" s="115">
        <v>123.80350738085365</v>
      </c>
      <c r="D35" s="115">
        <v>135.35990056969624</v>
      </c>
      <c r="E35" s="115">
        <v>136.06994642679223</v>
      </c>
      <c r="F35" s="115">
        <v>166.9804495104882</v>
      </c>
      <c r="G35" s="115">
        <v>140.61777397572985</v>
      </c>
      <c r="H35" s="115">
        <v>161.92588079338773</v>
      </c>
      <c r="I35" s="115">
        <v>217.58654088741733</v>
      </c>
      <c r="J35" s="115">
        <v>154.44724839921392</v>
      </c>
      <c r="K35" s="115">
        <v>356.01811494330377</v>
      </c>
      <c r="L35" s="115">
        <v>29.331247047467404</v>
      </c>
      <c r="M35" s="115">
        <v>121.95737004651096</v>
      </c>
      <c r="N35" s="115">
        <v>215.70573504782897</v>
      </c>
      <c r="O35" s="115">
        <v>162.02783657068991</v>
      </c>
    </row>
    <row r="36" spans="1:15" ht="15" customHeight="1" x14ac:dyDescent="0.2">
      <c r="A36" s="8" t="s">
        <v>246</v>
      </c>
      <c r="B36" s="114">
        <v>181.36397307109542</v>
      </c>
      <c r="C36" s="114">
        <v>127.13872834759759</v>
      </c>
      <c r="D36" s="114">
        <v>156.12890711230804</v>
      </c>
      <c r="E36" s="114">
        <v>135.3670859315759</v>
      </c>
      <c r="F36" s="114">
        <v>159.96644811822975</v>
      </c>
      <c r="G36" s="114">
        <v>87.75395285191837</v>
      </c>
      <c r="H36" s="114">
        <v>170.31333165973641</v>
      </c>
      <c r="I36" s="114">
        <v>126.87957796538238</v>
      </c>
      <c r="J36" s="114">
        <v>145.84603797650678</v>
      </c>
      <c r="K36" s="114">
        <v>467.53660123329456</v>
      </c>
      <c r="L36" s="114">
        <v>28.810781015876973</v>
      </c>
      <c r="M36" s="114">
        <v>115.72610257484183</v>
      </c>
      <c r="N36" s="114">
        <v>267.84814995415439</v>
      </c>
      <c r="O36" s="114">
        <v>171.41273792639166</v>
      </c>
    </row>
    <row r="37" spans="1:15" ht="15" customHeight="1" x14ac:dyDescent="0.2">
      <c r="A37" s="8" t="s">
        <v>247</v>
      </c>
      <c r="B37" s="114">
        <v>123.45371475517977</v>
      </c>
      <c r="C37" s="114">
        <v>169.84745368544</v>
      </c>
      <c r="D37" s="114">
        <v>145.044194760382</v>
      </c>
      <c r="E37" s="114">
        <v>128.25358446758764</v>
      </c>
      <c r="F37" s="114">
        <v>142.16444469762848</v>
      </c>
      <c r="G37" s="114">
        <v>89.099538190585932</v>
      </c>
      <c r="H37" s="114">
        <v>169.94261380682303</v>
      </c>
      <c r="I37" s="114">
        <v>57.59811938250175</v>
      </c>
      <c r="J37" s="114">
        <v>139.68354561109501</v>
      </c>
      <c r="K37" s="114">
        <v>363.347026069506</v>
      </c>
      <c r="L37" s="114">
        <v>54.78967519923814</v>
      </c>
      <c r="M37" s="114">
        <v>128.3403247676334</v>
      </c>
      <c r="N37" s="114">
        <v>226.61959122254856</v>
      </c>
      <c r="O37" s="114">
        <v>157.17983945805358</v>
      </c>
    </row>
    <row r="38" spans="1:15" ht="15" customHeight="1" x14ac:dyDescent="0.2">
      <c r="A38" s="8" t="s">
        <v>339</v>
      </c>
      <c r="B38" s="114">
        <v>131.99197965803</v>
      </c>
      <c r="C38" s="114">
        <v>186.67330059068047</v>
      </c>
      <c r="D38" s="114">
        <v>157.43929202121606</v>
      </c>
      <c r="E38" s="114">
        <v>132.23886843730182</v>
      </c>
      <c r="F38" s="114">
        <v>161.93557041714871</v>
      </c>
      <c r="G38" s="114">
        <v>176.22878511539602</v>
      </c>
      <c r="H38" s="114">
        <v>176.96045852533948</v>
      </c>
      <c r="I38" s="114">
        <v>214.26310054091289</v>
      </c>
      <c r="J38" s="114">
        <v>160.4236929433207</v>
      </c>
      <c r="K38" s="114">
        <v>374.63641929485374</v>
      </c>
      <c r="L38" s="114">
        <v>89.456841487588107</v>
      </c>
      <c r="M38" s="114">
        <v>134.68034465749102</v>
      </c>
      <c r="N38" s="114">
        <v>241.47378975238993</v>
      </c>
      <c r="O38" s="114">
        <v>176.93050264469332</v>
      </c>
    </row>
    <row r="39" spans="1:15" ht="15" customHeight="1" x14ac:dyDescent="0.2">
      <c r="A39" s="8" t="s">
        <v>340</v>
      </c>
      <c r="B39" s="114">
        <v>155.62098607789437</v>
      </c>
      <c r="C39" s="114">
        <v>218.87639322206701</v>
      </c>
      <c r="D39" s="114">
        <v>185.05846265679543</v>
      </c>
      <c r="E39" s="114">
        <v>150.4547097973836</v>
      </c>
      <c r="F39" s="114">
        <v>164.71095094411734</v>
      </c>
      <c r="G39" s="114">
        <v>254.67487814927708</v>
      </c>
      <c r="H39" s="114">
        <v>189.74620986927371</v>
      </c>
      <c r="I39" s="114">
        <v>218.16154280796854</v>
      </c>
      <c r="J39" s="114">
        <v>174.07434335310029</v>
      </c>
      <c r="K39" s="114">
        <v>375.97064665157131</v>
      </c>
      <c r="L39" s="114">
        <v>98.540167223868977</v>
      </c>
      <c r="M39" s="114">
        <v>141.17843664998927</v>
      </c>
      <c r="N39" s="114">
        <v>246.07588573326098</v>
      </c>
      <c r="O39" s="114">
        <v>189.21177598282011</v>
      </c>
    </row>
    <row r="40" spans="1:15" ht="15" customHeight="1" x14ac:dyDescent="0.2">
      <c r="A40" s="9" t="s">
        <v>384</v>
      </c>
      <c r="B40" s="115">
        <v>143.27643828056472</v>
      </c>
      <c r="C40" s="115">
        <v>273.73054177626722</v>
      </c>
      <c r="D40" s="115">
        <v>203.98649912206011</v>
      </c>
      <c r="E40" s="115">
        <v>159.64861396464516</v>
      </c>
      <c r="F40" s="115">
        <v>173.71906117849892</v>
      </c>
      <c r="G40" s="115">
        <v>45.157821577328065</v>
      </c>
      <c r="H40" s="115">
        <v>187.05556848093806</v>
      </c>
      <c r="I40" s="115">
        <v>130.07040611796467</v>
      </c>
      <c r="J40" s="115">
        <v>159.64861396464516</v>
      </c>
      <c r="K40" s="115">
        <v>597.50242298383421</v>
      </c>
      <c r="L40" s="115">
        <v>93.706807787695922</v>
      </c>
      <c r="M40" s="115">
        <v>129.4086466797589</v>
      </c>
      <c r="N40" s="115">
        <v>349.01332001295583</v>
      </c>
      <c r="O40" s="115">
        <v>205.25279329649962</v>
      </c>
    </row>
    <row r="41" spans="1:15" ht="15" customHeight="1" x14ac:dyDescent="0.2">
      <c r="A41" s="8"/>
      <c r="B41" s="120"/>
      <c r="C41" s="120"/>
      <c r="D41" s="120"/>
      <c r="E41" s="120"/>
      <c r="F41" s="120"/>
      <c r="G41" s="120"/>
      <c r="H41" s="120"/>
      <c r="I41" s="120"/>
      <c r="J41" s="120"/>
      <c r="K41" s="120"/>
      <c r="L41" s="120"/>
      <c r="M41" s="120"/>
      <c r="N41" s="120"/>
      <c r="O41" s="120"/>
    </row>
    <row r="42" spans="1:15" ht="15" customHeight="1" x14ac:dyDescent="0.2">
      <c r="A42" s="10">
        <v>43831</v>
      </c>
      <c r="B42" s="12">
        <v>153.63190189365156</v>
      </c>
      <c r="C42" s="12">
        <v>182.03096253118386</v>
      </c>
      <c r="D42" s="12">
        <v>166.84811091234835</v>
      </c>
      <c r="E42" s="12">
        <v>128.29034359631754</v>
      </c>
      <c r="F42" s="12">
        <v>190.86393536402494</v>
      </c>
      <c r="G42" s="12">
        <v>39.514381014237685</v>
      </c>
      <c r="H42" s="12">
        <v>176.99301541553237</v>
      </c>
      <c r="I42" s="12">
        <v>47.489916663595025</v>
      </c>
      <c r="J42" s="12">
        <v>152.70346758351721</v>
      </c>
      <c r="K42" s="12">
        <v>343.78933048807153</v>
      </c>
      <c r="L42" s="12">
        <v>89.590945164492766</v>
      </c>
      <c r="M42" s="12">
        <v>197.71037176706</v>
      </c>
      <c r="N42" s="12">
        <v>245.36039513773903</v>
      </c>
      <c r="O42" s="12">
        <v>173.09799181095565</v>
      </c>
    </row>
    <row r="43" spans="1:15" ht="15" customHeight="1" x14ac:dyDescent="0.2">
      <c r="A43" s="10">
        <v>43862</v>
      </c>
      <c r="B43" s="12">
        <v>126.11545739675307</v>
      </c>
      <c r="C43" s="12">
        <v>160.63372441501286</v>
      </c>
      <c r="D43" s="12">
        <v>142.17939126059329</v>
      </c>
      <c r="E43" s="12">
        <v>203.56370867621791</v>
      </c>
      <c r="F43" s="12">
        <v>119.25866320330192</v>
      </c>
      <c r="G43" s="12">
        <v>87.293776713279271</v>
      </c>
      <c r="H43" s="12">
        <v>161.17143421782922</v>
      </c>
      <c r="I43" s="12">
        <v>39.168034201750324</v>
      </c>
      <c r="J43" s="12">
        <v>159.59583466536122</v>
      </c>
      <c r="K43" s="12">
        <v>231.63174936900873</v>
      </c>
      <c r="L43" s="12">
        <v>55.923887318928692</v>
      </c>
      <c r="M43" s="12">
        <v>160.29822972626371</v>
      </c>
      <c r="N43" s="12">
        <v>172.44035408072486</v>
      </c>
      <c r="O43" s="12">
        <v>157.47061857293212</v>
      </c>
    </row>
    <row r="44" spans="1:15" ht="15" customHeight="1" x14ac:dyDescent="0.2">
      <c r="A44" s="10">
        <v>43891</v>
      </c>
      <c r="B44" s="12">
        <v>144.51948130058733</v>
      </c>
      <c r="C44" s="12">
        <v>99.587750790773214</v>
      </c>
      <c r="D44" s="12">
        <v>123.6093832671104</v>
      </c>
      <c r="E44" s="12">
        <v>162.56797755752243</v>
      </c>
      <c r="F44" s="12">
        <v>86.783529475661041</v>
      </c>
      <c r="G44" s="12">
        <v>49.405850217869897</v>
      </c>
      <c r="H44" s="12">
        <v>126.16815467165685</v>
      </c>
      <c r="I44" s="12">
        <v>264.32496844878148</v>
      </c>
      <c r="J44" s="12">
        <v>136.67246523763066</v>
      </c>
      <c r="K44" s="12">
        <v>246.18675126550667</v>
      </c>
      <c r="L44" s="12">
        <v>67.34326627860716</v>
      </c>
      <c r="M44" s="12">
        <v>113.73495347599824</v>
      </c>
      <c r="N44" s="12">
        <v>168.00169984772378</v>
      </c>
      <c r="O44" s="12">
        <v>139.3731479588545</v>
      </c>
    </row>
    <row r="45" spans="1:15" ht="15" customHeight="1" x14ac:dyDescent="0.2">
      <c r="A45" s="10">
        <v>43922</v>
      </c>
      <c r="B45" s="12">
        <v>128.31227331323285</v>
      </c>
      <c r="C45" s="12">
        <v>149.68157284637687</v>
      </c>
      <c r="D45" s="12">
        <v>138.25700820491875</v>
      </c>
      <c r="E45" s="12">
        <v>115.34799238836449</v>
      </c>
      <c r="F45" s="12">
        <v>97.600395461140195</v>
      </c>
      <c r="G45" s="12">
        <v>184.7241997097469</v>
      </c>
      <c r="H45" s="12">
        <v>155.22690810508703</v>
      </c>
      <c r="I45" s="12">
        <v>37.714020203444967</v>
      </c>
      <c r="J45" s="12">
        <v>119.97371453149727</v>
      </c>
      <c r="K45" s="12">
        <v>168.077291633622</v>
      </c>
      <c r="L45" s="12">
        <v>108.51816932448598</v>
      </c>
      <c r="M45" s="12">
        <v>124.789721559684</v>
      </c>
      <c r="N45" s="12">
        <v>142.21916397735987</v>
      </c>
      <c r="O45" s="12">
        <v>126.75696478192631</v>
      </c>
    </row>
    <row r="46" spans="1:15" ht="15" customHeight="1" x14ac:dyDescent="0.2">
      <c r="A46" s="10">
        <v>43952</v>
      </c>
      <c r="B46" s="12">
        <v>114.23798306021888</v>
      </c>
      <c r="C46" s="12">
        <v>134.84005298305664</v>
      </c>
      <c r="D46" s="12">
        <v>123.82566857535809</v>
      </c>
      <c r="E46" s="12">
        <v>62.90141784258892</v>
      </c>
      <c r="F46" s="12">
        <v>76.393891831363788</v>
      </c>
      <c r="G46" s="12">
        <v>177.97872574005254</v>
      </c>
      <c r="H46" s="12">
        <v>132.84775800428477</v>
      </c>
      <c r="I46" s="12">
        <v>167.97065940066904</v>
      </c>
      <c r="J46" s="12">
        <v>90.235545256256287</v>
      </c>
      <c r="K46" s="12">
        <v>162.8566334856599</v>
      </c>
      <c r="L46" s="12">
        <v>42.441131453705452</v>
      </c>
      <c r="M46" s="12">
        <v>95.448915910651351</v>
      </c>
      <c r="N46" s="12">
        <v>116.74664343574327</v>
      </c>
      <c r="O46" s="12">
        <v>101.00494814229887</v>
      </c>
    </row>
    <row r="47" spans="1:15" ht="15" customHeight="1" x14ac:dyDescent="0.2">
      <c r="A47" s="10">
        <v>43983</v>
      </c>
      <c r="B47" s="12">
        <v>101.62083734844882</v>
      </c>
      <c r="C47" s="12">
        <v>115.96710820762542</v>
      </c>
      <c r="D47" s="12">
        <v>108.29723121702402</v>
      </c>
      <c r="E47" s="12">
        <v>78.432280450405557</v>
      </c>
      <c r="F47" s="12">
        <v>104.41011839292888</v>
      </c>
      <c r="G47" s="12">
        <v>173.06757308189125</v>
      </c>
      <c r="H47" s="12">
        <v>135.09915981795115</v>
      </c>
      <c r="I47" s="12">
        <v>116.18356942654225</v>
      </c>
      <c r="J47" s="12">
        <v>100.24698870818881</v>
      </c>
      <c r="K47" s="12">
        <v>263.81298979224164</v>
      </c>
      <c r="L47" s="12">
        <v>29.004093173193667</v>
      </c>
      <c r="M47" s="12">
        <v>130.88478766270762</v>
      </c>
      <c r="N47" s="12">
        <v>173.51627918682306</v>
      </c>
      <c r="O47" s="12">
        <v>115.81770168839367</v>
      </c>
    </row>
    <row r="48" spans="1:15" ht="15" customHeight="1" x14ac:dyDescent="0.2">
      <c r="A48" s="10">
        <v>44013</v>
      </c>
      <c r="B48" s="12">
        <v>126.11831280059754</v>
      </c>
      <c r="C48" s="12">
        <v>127.6517028522248</v>
      </c>
      <c r="D48" s="12">
        <v>126.83191398931834</v>
      </c>
      <c r="E48" s="12">
        <v>134.59678429163395</v>
      </c>
      <c r="F48" s="12">
        <v>125.61149282183462</v>
      </c>
      <c r="G48" s="12">
        <v>58.234539037266053</v>
      </c>
      <c r="H48" s="12">
        <v>170.89876355160197</v>
      </c>
      <c r="I48" s="12">
        <v>113.79139435395324</v>
      </c>
      <c r="J48" s="12">
        <v>138.64302997041983</v>
      </c>
      <c r="K48" s="12">
        <v>205.25053113969449</v>
      </c>
      <c r="L48" s="12">
        <v>31.471917679631858</v>
      </c>
      <c r="M48" s="12">
        <v>165.48339648062245</v>
      </c>
      <c r="N48" s="12">
        <v>155.88008102315678</v>
      </c>
      <c r="O48" s="12">
        <v>138.65839061097813</v>
      </c>
    </row>
    <row r="49" spans="1:15" ht="15" customHeight="1" x14ac:dyDescent="0.2">
      <c r="A49" s="10">
        <v>44044</v>
      </c>
      <c r="B49" s="12">
        <v>105.05885371143754</v>
      </c>
      <c r="C49" s="12">
        <v>97.178465114931029</v>
      </c>
      <c r="D49" s="12">
        <v>101.3915189298659</v>
      </c>
      <c r="E49" s="12">
        <v>169.26158462350364</v>
      </c>
      <c r="F49" s="12">
        <v>123.5910648087975</v>
      </c>
      <c r="G49" s="12">
        <v>59.445370193464477</v>
      </c>
      <c r="H49" s="12">
        <v>149.75475619950635</v>
      </c>
      <c r="I49" s="12">
        <v>203.43778978647188</v>
      </c>
      <c r="J49" s="12">
        <v>153.96710635034364</v>
      </c>
      <c r="K49" s="12">
        <v>267.29531014791377</v>
      </c>
      <c r="L49" s="12">
        <v>17.564365867575816</v>
      </c>
      <c r="M49" s="12">
        <v>149.84068454502926</v>
      </c>
      <c r="N49" s="12">
        <v>178.38352399788016</v>
      </c>
      <c r="O49" s="12">
        <v>147.7859464651595</v>
      </c>
    </row>
    <row r="50" spans="1:15" ht="15" customHeight="1" x14ac:dyDescent="0.2">
      <c r="A50" s="10">
        <v>44075</v>
      </c>
      <c r="B50" s="12">
        <v>132.41617675949738</v>
      </c>
      <c r="C50" s="12">
        <v>117.84816931614446</v>
      </c>
      <c r="D50" s="12">
        <v>125.63659225793022</v>
      </c>
      <c r="E50" s="12">
        <v>146.05325639997326</v>
      </c>
      <c r="F50" s="12">
        <v>150.0538744577845</v>
      </c>
      <c r="G50" s="12">
        <v>110.51527454001511</v>
      </c>
      <c r="H50" s="12">
        <v>180.0638567898269</v>
      </c>
      <c r="I50" s="12">
        <v>267.61284466312856</v>
      </c>
      <c r="J50" s="12">
        <v>171.80397393839493</v>
      </c>
      <c r="K50" s="12">
        <v>347.20958403992705</v>
      </c>
      <c r="L50" s="12">
        <v>36.639752700188687</v>
      </c>
      <c r="M50" s="12">
        <v>170.22607160677151</v>
      </c>
      <c r="N50" s="12">
        <v>227.34017644796819</v>
      </c>
      <c r="O50" s="12">
        <v>173.04009076572439</v>
      </c>
    </row>
    <row r="51" spans="1:15" ht="15" customHeight="1" x14ac:dyDescent="0.2">
      <c r="A51" s="10">
        <v>44105</v>
      </c>
      <c r="B51" s="12">
        <v>123.18250700251231</v>
      </c>
      <c r="C51" s="12">
        <v>114.50626046975776</v>
      </c>
      <c r="D51" s="12">
        <v>119.14479994106523</v>
      </c>
      <c r="E51" s="12">
        <v>149.31079276326452</v>
      </c>
      <c r="F51" s="12">
        <v>143.92755190572217</v>
      </c>
      <c r="G51" s="12">
        <v>183.52824988524469</v>
      </c>
      <c r="H51" s="12">
        <v>157.70824150577846</v>
      </c>
      <c r="I51" s="12">
        <v>123.40627769091672</v>
      </c>
      <c r="J51" s="12">
        <v>156.67668934678557</v>
      </c>
      <c r="K51" s="12">
        <v>398.77430257504722</v>
      </c>
      <c r="L51" s="12">
        <v>37.486724411920498</v>
      </c>
      <c r="M51" s="12">
        <v>170.87087307881779</v>
      </c>
      <c r="N51" s="12">
        <v>252.75193238664031</v>
      </c>
      <c r="O51" s="12">
        <v>168.04550921696821</v>
      </c>
    </row>
    <row r="52" spans="1:15" ht="15" customHeight="1" x14ac:dyDescent="0.2">
      <c r="A52" s="10">
        <v>44136</v>
      </c>
      <c r="B52" s="12">
        <v>121.41743500067139</v>
      </c>
      <c r="C52" s="12">
        <v>113.66106025069763</v>
      </c>
      <c r="D52" s="12">
        <v>117.80781314622463</v>
      </c>
      <c r="E52" s="12">
        <v>114.70797294193416</v>
      </c>
      <c r="F52" s="12">
        <v>148.28968009437426</v>
      </c>
      <c r="G52" s="12">
        <v>510.5345973272419</v>
      </c>
      <c r="H52" s="12">
        <v>170.34147813906708</v>
      </c>
      <c r="I52" s="12">
        <v>112.86103051010218</v>
      </c>
      <c r="J52" s="12">
        <v>149.81654703340445</v>
      </c>
      <c r="K52" s="12">
        <v>260.26050930366932</v>
      </c>
      <c r="L52" s="12">
        <v>55.969218983372663</v>
      </c>
      <c r="M52" s="12">
        <v>122.3693589906667</v>
      </c>
      <c r="N52" s="12">
        <v>175.04969628709074</v>
      </c>
      <c r="O52" s="12">
        <v>147.63892643328361</v>
      </c>
    </row>
    <row r="53" spans="1:15" ht="15" customHeight="1" x14ac:dyDescent="0.2">
      <c r="A53" s="10">
        <v>44166</v>
      </c>
      <c r="B53" s="12">
        <v>151.97213893056335</v>
      </c>
      <c r="C53" s="12">
        <v>130.65248037187712</v>
      </c>
      <c r="D53" s="12">
        <v>142.05050570067885</v>
      </c>
      <c r="E53" s="12">
        <v>132.42107808922719</v>
      </c>
      <c r="F53" s="12">
        <v>154.38969363709705</v>
      </c>
      <c r="G53" s="12">
        <v>288.68331001325856</v>
      </c>
      <c r="H53" s="12">
        <v>178.92387917230539</v>
      </c>
      <c r="I53" s="12">
        <v>172.61276989008698</v>
      </c>
      <c r="J53" s="12">
        <v>151.480215990283</v>
      </c>
      <c r="K53" s="12">
        <v>278.75467778093781</v>
      </c>
      <c r="L53" s="12">
        <v>33.077197764508554</v>
      </c>
      <c r="M53" s="12">
        <v>170.25551254366576</v>
      </c>
      <c r="N53" s="12">
        <v>193.3897969173625</v>
      </c>
      <c r="O53" s="12">
        <v>156.88702898304285</v>
      </c>
    </row>
    <row r="54" spans="1:15" ht="15" customHeight="1" x14ac:dyDescent="0.2">
      <c r="A54" s="11">
        <v>44197</v>
      </c>
      <c r="B54" s="120">
        <v>183.80168965427828</v>
      </c>
      <c r="C54" s="120">
        <v>126.79483932203186</v>
      </c>
      <c r="D54" s="120">
        <v>157.27213436001571</v>
      </c>
      <c r="E54" s="120">
        <v>168.94594316043452</v>
      </c>
      <c r="F54" s="120">
        <v>153.66958536054329</v>
      </c>
      <c r="G54" s="120">
        <v>28.46101279449023</v>
      </c>
      <c r="H54" s="120">
        <v>192.19006855955132</v>
      </c>
      <c r="I54" s="120">
        <v>31.078376287287412</v>
      </c>
      <c r="J54" s="120">
        <v>158.92511933581676</v>
      </c>
      <c r="K54" s="120">
        <v>302.91849704931536</v>
      </c>
      <c r="L54" s="120">
        <v>49.085244119880443</v>
      </c>
      <c r="M54" s="120">
        <v>142.8038810558057</v>
      </c>
      <c r="N54" s="120">
        <v>200.33074413382542</v>
      </c>
      <c r="O54" s="120">
        <v>165.82707249019288</v>
      </c>
    </row>
    <row r="55" spans="1:15" ht="15" customHeight="1" x14ac:dyDescent="0.2">
      <c r="A55" s="11">
        <v>44228</v>
      </c>
      <c r="B55" s="120">
        <v>120.65312420225565</v>
      </c>
      <c r="C55" s="120">
        <v>111.98401112079473</v>
      </c>
      <c r="D55" s="120">
        <v>116.61873686974347</v>
      </c>
      <c r="E55" s="120">
        <v>158.78543275233307</v>
      </c>
      <c r="F55" s="120">
        <v>148.34085215681742</v>
      </c>
      <c r="G55" s="120">
        <v>89.27995156499459</v>
      </c>
      <c r="H55" s="120">
        <v>162.74198026963509</v>
      </c>
      <c r="I55" s="120">
        <v>224.75989206655268</v>
      </c>
      <c r="J55" s="120">
        <v>155.6481838971462</v>
      </c>
      <c r="K55" s="120">
        <v>258.99333694725806</v>
      </c>
      <c r="L55" s="120">
        <v>36.061048453572973</v>
      </c>
      <c r="M55" s="120">
        <v>146.74667662536044</v>
      </c>
      <c r="N55" s="120">
        <v>177.33633293449188</v>
      </c>
      <c r="O55" s="120">
        <v>151.38996056885972</v>
      </c>
    </row>
    <row r="56" spans="1:15" ht="15" customHeight="1" x14ac:dyDescent="0.2">
      <c r="A56" s="11">
        <v>44256</v>
      </c>
      <c r="B56" s="120">
        <v>182.1411021087977</v>
      </c>
      <c r="C56" s="120">
        <v>135.17353009984956</v>
      </c>
      <c r="D56" s="120">
        <v>160.28357461189924</v>
      </c>
      <c r="E56" s="120">
        <v>157.16528344199426</v>
      </c>
      <c r="F56" s="120">
        <v>160.67133363171982</v>
      </c>
      <c r="G56" s="120">
        <v>117.67725686152741</v>
      </c>
      <c r="H56" s="120">
        <v>230.88059703901973</v>
      </c>
      <c r="I56" s="120">
        <v>117.01695814253678</v>
      </c>
      <c r="J56" s="120">
        <v>176.66046257566745</v>
      </c>
      <c r="K56" s="120">
        <v>483.96888910745571</v>
      </c>
      <c r="L56" s="120">
        <v>47.189768761299902</v>
      </c>
      <c r="M56" s="120">
        <v>163.17018242134461</v>
      </c>
      <c r="N56" s="120">
        <v>293.8336994703123</v>
      </c>
      <c r="O56" s="120">
        <v>195.99817644548176</v>
      </c>
    </row>
    <row r="57" spans="1:15" ht="15" customHeight="1" x14ac:dyDescent="0.2">
      <c r="A57" s="11">
        <v>44287</v>
      </c>
      <c r="B57" s="120">
        <v>118.16621749384096</v>
      </c>
      <c r="C57" s="120">
        <v>117.89288108431573</v>
      </c>
      <c r="D57" s="120">
        <v>118.03901359907793</v>
      </c>
      <c r="E57" s="120">
        <v>193.55463822672681</v>
      </c>
      <c r="F57" s="120">
        <v>144.67100835120334</v>
      </c>
      <c r="G57" s="120">
        <v>298.55276743429249</v>
      </c>
      <c r="H57" s="120">
        <v>178.65913592670267</v>
      </c>
      <c r="I57" s="120">
        <v>102.18204335152532</v>
      </c>
      <c r="J57" s="120">
        <v>169.50956023295032</v>
      </c>
      <c r="K57" s="120">
        <v>421.54847779393197</v>
      </c>
      <c r="L57" s="120">
        <v>45.021899538232191</v>
      </c>
      <c r="M57" s="120">
        <v>156.53226545631196</v>
      </c>
      <c r="N57" s="120">
        <v>261.06743044864368</v>
      </c>
      <c r="O57" s="120">
        <v>177.17961462757435</v>
      </c>
    </row>
    <row r="58" spans="1:15" ht="15" customHeight="1" x14ac:dyDescent="0.2">
      <c r="A58" s="11">
        <v>44317</v>
      </c>
      <c r="B58" s="120">
        <v>106.89222508152841</v>
      </c>
      <c r="C58" s="120">
        <v>111.93763206175119</v>
      </c>
      <c r="D58" s="120">
        <v>109.24023067530814</v>
      </c>
      <c r="E58" s="120">
        <v>150.12901383187977</v>
      </c>
      <c r="F58" s="120">
        <v>149.24126529671963</v>
      </c>
      <c r="G58" s="120">
        <v>69.920049424182906</v>
      </c>
      <c r="H58" s="120">
        <v>189.24549351366852</v>
      </c>
      <c r="I58" s="120">
        <v>79.971366289479974</v>
      </c>
      <c r="J58" s="120">
        <v>160.27836308521969</v>
      </c>
      <c r="K58" s="120">
        <v>198.9006162055482</v>
      </c>
      <c r="L58" s="120">
        <v>33.987546373025495</v>
      </c>
      <c r="M58" s="120">
        <v>152.85565389329651</v>
      </c>
      <c r="N58" s="120">
        <v>149.6694326535206</v>
      </c>
      <c r="O58" s="120">
        <v>147.1228450609764</v>
      </c>
    </row>
    <row r="59" spans="1:15" ht="15" customHeight="1" x14ac:dyDescent="0.2">
      <c r="A59" s="11">
        <v>44348</v>
      </c>
      <c r="B59" s="120">
        <v>144.76593283246854</v>
      </c>
      <c r="C59" s="120">
        <v>165.09193942205292</v>
      </c>
      <c r="D59" s="120">
        <v>154.22514541108205</v>
      </c>
      <c r="E59" s="120">
        <v>28.883493056567627</v>
      </c>
      <c r="F59" s="120">
        <v>176.48241539599078</v>
      </c>
      <c r="G59" s="120">
        <v>14.459630284629089</v>
      </c>
      <c r="H59" s="120">
        <v>199.04685946870626</v>
      </c>
      <c r="I59" s="120">
        <v>185.47361373131099</v>
      </c>
      <c r="J59" s="120">
        <v>120.99873770972776</v>
      </c>
      <c r="K59" s="120">
        <v>316.17791957870878</v>
      </c>
      <c r="L59" s="120">
        <v>73.10693433479679</v>
      </c>
      <c r="M59" s="120">
        <v>175.43425567234422</v>
      </c>
      <c r="N59" s="120">
        <v>221.84455896358259</v>
      </c>
      <c r="O59" s="120">
        <v>146.68790026673176</v>
      </c>
    </row>
    <row r="60" spans="1:15" ht="15" customHeight="1" x14ac:dyDescent="0.2">
      <c r="A60" s="11">
        <v>44378</v>
      </c>
      <c r="B60" s="120">
        <v>86.393813471544931</v>
      </c>
      <c r="C60" s="120">
        <v>161.57301390847101</v>
      </c>
      <c r="D60" s="120">
        <v>121.38032374786683</v>
      </c>
      <c r="E60" s="120">
        <v>107.43530883726081</v>
      </c>
      <c r="F60" s="120">
        <v>146.93311542266525</v>
      </c>
      <c r="G60" s="120">
        <v>25.697821065568888</v>
      </c>
      <c r="H60" s="120">
        <v>163.60478798512949</v>
      </c>
      <c r="I60" s="120">
        <v>117.9405006038411</v>
      </c>
      <c r="J60" s="120">
        <v>139.28561862439793</v>
      </c>
      <c r="K60" s="120">
        <v>354.38508457262725</v>
      </c>
      <c r="L60" s="120">
        <v>53.345591693827181</v>
      </c>
      <c r="M60" s="120">
        <v>144.95069253957055</v>
      </c>
      <c r="N60" s="120">
        <v>227.08889008314577</v>
      </c>
      <c r="O60" s="120">
        <v>152.66998104940069</v>
      </c>
    </row>
    <row r="61" spans="1:15" ht="15" customHeight="1" x14ac:dyDescent="0.2">
      <c r="A61" s="11">
        <v>44409</v>
      </c>
      <c r="B61" s="120">
        <v>97.017939064104283</v>
      </c>
      <c r="C61" s="120">
        <v>140.94536933969985</v>
      </c>
      <c r="D61" s="120">
        <v>117.46066101136607</v>
      </c>
      <c r="E61" s="120">
        <v>147.15088116191831</v>
      </c>
      <c r="F61" s="120">
        <v>140.09123816111651</v>
      </c>
      <c r="G61" s="120">
        <v>4.7938453304897468</v>
      </c>
      <c r="H61" s="120">
        <v>148.42694343819156</v>
      </c>
      <c r="I61" s="120">
        <v>193.67314220400348</v>
      </c>
      <c r="J61" s="120">
        <v>147.95196871926473</v>
      </c>
      <c r="K61" s="120">
        <v>314.61723566338969</v>
      </c>
      <c r="L61" s="120">
        <v>45.670721193440592</v>
      </c>
      <c r="M61" s="120">
        <v>150.26572762391112</v>
      </c>
      <c r="N61" s="120">
        <v>207.52022840035946</v>
      </c>
      <c r="O61" s="120">
        <v>153.12744986528836</v>
      </c>
    </row>
    <row r="62" spans="1:15" ht="15" customHeight="1" x14ac:dyDescent="0.2">
      <c r="A62" s="11">
        <v>44440</v>
      </c>
      <c r="B62" s="120">
        <v>86.233590020526364</v>
      </c>
      <c r="C62" s="120">
        <v>134.85149719864091</v>
      </c>
      <c r="D62" s="120">
        <v>108.85914202446726</v>
      </c>
      <c r="E62" s="120">
        <v>77.169232916810572</v>
      </c>
      <c r="F62" s="120">
        <v>144.14300652484442</v>
      </c>
      <c r="G62" s="120">
        <v>1.4686668080601524</v>
      </c>
      <c r="H62" s="120">
        <v>148.45847552483249</v>
      </c>
      <c r="I62" s="120">
        <v>116.00233470562574</v>
      </c>
      <c r="J62" s="120">
        <v>115.84070248492938</v>
      </c>
      <c r="K62" s="120">
        <v>371.35648545102907</v>
      </c>
      <c r="L62" s="120">
        <v>48.050929329213126</v>
      </c>
      <c r="M62" s="120">
        <v>149.34887275878285</v>
      </c>
      <c r="N62" s="120">
        <v>235.34656741816588</v>
      </c>
      <c r="O62" s="120">
        <v>137.99375604496944</v>
      </c>
    </row>
    <row r="63" spans="1:15" ht="15" customHeight="1" x14ac:dyDescent="0.2">
      <c r="A63" s="11">
        <v>44470</v>
      </c>
      <c r="B63" s="120">
        <v>76.679748320283537</v>
      </c>
      <c r="C63" s="120">
        <v>97.500654821316331</v>
      </c>
      <c r="D63" s="120">
        <v>86.369274878521907</v>
      </c>
      <c r="E63" s="120">
        <v>133.35802191724179</v>
      </c>
      <c r="F63" s="120">
        <v>143.94642881794235</v>
      </c>
      <c r="G63" s="120">
        <v>72.912026038636782</v>
      </c>
      <c r="H63" s="120">
        <v>160.60988054527681</v>
      </c>
      <c r="I63" s="120">
        <v>232.13320210130917</v>
      </c>
      <c r="J63" s="120">
        <v>146.37805592492396</v>
      </c>
      <c r="K63" s="120">
        <v>518.0770264985423</v>
      </c>
      <c r="L63" s="120">
        <v>31.247627811779843</v>
      </c>
      <c r="M63" s="120">
        <v>136.97664712622148</v>
      </c>
      <c r="N63" s="120">
        <v>299.22532337439776</v>
      </c>
      <c r="O63" s="120">
        <v>165.34705415882328</v>
      </c>
    </row>
    <row r="64" spans="1:15" ht="15" customHeight="1" x14ac:dyDescent="0.2">
      <c r="A64" s="11">
        <v>44501</v>
      </c>
      <c r="B64" s="120">
        <v>127.39516779927035</v>
      </c>
      <c r="C64" s="120">
        <v>113.53046690299459</v>
      </c>
      <c r="D64" s="120">
        <v>120.94288448731024</v>
      </c>
      <c r="E64" s="120">
        <v>126.564901278845</v>
      </c>
      <c r="F64" s="120">
        <v>166.85763300016282</v>
      </c>
      <c r="G64" s="120">
        <v>5.7902052503193433</v>
      </c>
      <c r="H64" s="120">
        <v>161.40330836519135</v>
      </c>
      <c r="I64" s="120">
        <v>85.784034878803539</v>
      </c>
      <c r="J64" s="120">
        <v>139.71225157410632</v>
      </c>
      <c r="K64" s="120">
        <v>336.94381392492852</v>
      </c>
      <c r="L64" s="120">
        <v>56.26017498471068</v>
      </c>
      <c r="M64" s="120">
        <v>162.11553136700314</v>
      </c>
      <c r="N64" s="120">
        <v>224.36713649381059</v>
      </c>
      <c r="O64" s="120">
        <v>152.28559892612532</v>
      </c>
    </row>
    <row r="65" spans="1:15" ht="15" customHeight="1" x14ac:dyDescent="0.2">
      <c r="A65" s="11">
        <v>44531</v>
      </c>
      <c r="B65" s="120">
        <v>176.18925972653369</v>
      </c>
      <c r="C65" s="120">
        <v>147.37680628658489</v>
      </c>
      <c r="D65" s="120">
        <v>162.78066808809848</v>
      </c>
      <c r="E65" s="120">
        <v>160.73377703420397</v>
      </c>
      <c r="F65" s="120">
        <v>171.84476644681567</v>
      </c>
      <c r="G65" s="120">
        <v>165.16793801580781</v>
      </c>
      <c r="H65" s="120">
        <v>191.98686967297056</v>
      </c>
      <c r="I65" s="120">
        <v>124.91441526890414</v>
      </c>
      <c r="J65" s="120">
        <v>193.09064170743903</v>
      </c>
      <c r="K65" s="120">
        <v>429.91196351468767</v>
      </c>
      <c r="L65" s="120">
        <v>40.855725025547095</v>
      </c>
      <c r="M65" s="120">
        <v>173.36218098923453</v>
      </c>
      <c r="N65" s="120">
        <v>269.29997412097663</v>
      </c>
      <c r="O65" s="120">
        <v>201.28251535420083</v>
      </c>
    </row>
    <row r="66" spans="1:15" ht="15" customHeight="1" x14ac:dyDescent="0.2">
      <c r="A66" s="10">
        <v>44562</v>
      </c>
      <c r="B66" s="12">
        <v>188.12941145476344</v>
      </c>
      <c r="C66" s="12">
        <v>115.55024501153136</v>
      </c>
      <c r="D66" s="12">
        <v>154.35289164801938</v>
      </c>
      <c r="E66" s="12">
        <v>145.21410416611971</v>
      </c>
      <c r="F66" s="12">
        <v>170.82821909029661</v>
      </c>
      <c r="G66" s="12">
        <v>9.419946637212572</v>
      </c>
      <c r="H66" s="12">
        <v>165.14524695051733</v>
      </c>
      <c r="I66" s="12">
        <v>148.2660830538716</v>
      </c>
      <c r="J66" s="12">
        <v>157.57059499417312</v>
      </c>
      <c r="K66" s="12">
        <v>355.04202079863592</v>
      </c>
      <c r="L66" s="12">
        <v>29.752104395742382</v>
      </c>
      <c r="M66" s="12">
        <v>158.60305408826386</v>
      </c>
      <c r="N66" s="12">
        <v>226.1691597619774</v>
      </c>
      <c r="O66" s="12">
        <v>169.64860096843725</v>
      </c>
    </row>
    <row r="67" spans="1:15" ht="15" customHeight="1" x14ac:dyDescent="0.2">
      <c r="A67" s="10">
        <v>44593</v>
      </c>
      <c r="B67" s="12">
        <v>146.84541366375788</v>
      </c>
      <c r="C67" s="12">
        <v>100.83001965122027</v>
      </c>
      <c r="D67" s="12">
        <v>125.43100587367589</v>
      </c>
      <c r="E67" s="12">
        <v>141.86371959341142</v>
      </c>
      <c r="F67" s="12">
        <v>186.76401964134553</v>
      </c>
      <c r="G67" s="12">
        <v>9.2892475606017832</v>
      </c>
      <c r="H67" s="12">
        <v>162.97141364584334</v>
      </c>
      <c r="I67" s="12">
        <v>51.112668277204918</v>
      </c>
      <c r="J67" s="12">
        <v>151.59571955103198</v>
      </c>
      <c r="K67" s="12">
        <v>367.16725722472745</v>
      </c>
      <c r="L67" s="12">
        <v>34.681664492995068</v>
      </c>
      <c r="M67" s="12">
        <v>143.3046255354414</v>
      </c>
      <c r="N67" s="12">
        <v>228.70520026912055</v>
      </c>
      <c r="O67" s="12">
        <v>161.13932452697804</v>
      </c>
    </row>
    <row r="68" spans="1:15" ht="15" customHeight="1" x14ac:dyDescent="0.2">
      <c r="A68" s="10">
        <v>44621</v>
      </c>
      <c r="B68" s="12">
        <v>147.58621116624556</v>
      </c>
      <c r="C68" s="12">
        <v>91.074499991804387</v>
      </c>
      <c r="D68" s="12">
        <v>121.28708119084888</v>
      </c>
      <c r="E68" s="12">
        <v>126.4341388111807</v>
      </c>
      <c r="F68" s="12">
        <v>147.25736755169723</v>
      </c>
      <c r="G68" s="12">
        <v>63.16194383238323</v>
      </c>
      <c r="H68" s="12">
        <v>183.07781429770452</v>
      </c>
      <c r="I68" s="12">
        <v>108.31432675092283</v>
      </c>
      <c r="J68" s="12">
        <v>141.33346209643963</v>
      </c>
      <c r="K68" s="12">
        <v>406.67361876801863</v>
      </c>
      <c r="L68" s="12">
        <v>38.717755046591471</v>
      </c>
      <c r="M68" s="12">
        <v>143.607418293525</v>
      </c>
      <c r="N68" s="12">
        <v>248.75730575689258</v>
      </c>
      <c r="O68" s="12">
        <v>158.33424344711293</v>
      </c>
    </row>
    <row r="69" spans="1:15" ht="15" customHeight="1" x14ac:dyDescent="0.2">
      <c r="A69" s="10">
        <v>44652</v>
      </c>
      <c r="B69" s="12">
        <v>138.11531214735587</v>
      </c>
      <c r="C69" s="12">
        <v>72.400697948267208</v>
      </c>
      <c r="D69" s="12">
        <v>107.5333824165407</v>
      </c>
      <c r="E69" s="12">
        <v>123.35913733137809</v>
      </c>
      <c r="F69" s="12">
        <v>145.19614825728718</v>
      </c>
      <c r="G69" s="12">
        <v>86.971306628583889</v>
      </c>
      <c r="H69" s="12">
        <v>168.00137811308724</v>
      </c>
      <c r="I69" s="12">
        <v>76.799355267973127</v>
      </c>
      <c r="J69" s="12">
        <v>132.01178155980813</v>
      </c>
      <c r="K69" s="12">
        <v>359.11138159224805</v>
      </c>
      <c r="L69" s="12">
        <v>25.936009496412979</v>
      </c>
      <c r="M69" s="12">
        <v>92.365355675519297</v>
      </c>
      <c r="N69" s="12">
        <v>207.5872922748317</v>
      </c>
      <c r="O69" s="12">
        <v>141.74240184640774</v>
      </c>
    </row>
    <row r="70" spans="1:15" ht="15" customHeight="1" x14ac:dyDescent="0.2">
      <c r="A70" s="10">
        <v>44682</v>
      </c>
      <c r="B70" s="12">
        <v>102.82007268586611</v>
      </c>
      <c r="C70" s="12">
        <v>56.246618799111936</v>
      </c>
      <c r="D70" s="12">
        <v>81.145957856994016</v>
      </c>
      <c r="E70" s="12">
        <v>109.22949009696646</v>
      </c>
      <c r="F70" s="12">
        <v>129.54761989934778</v>
      </c>
      <c r="G70" s="12">
        <v>11.773970498935688</v>
      </c>
      <c r="H70" s="12">
        <v>130.77574590383722</v>
      </c>
      <c r="I70" s="12">
        <v>78.563534135678964</v>
      </c>
      <c r="J70" s="12">
        <v>114.04652935497374</v>
      </c>
      <c r="K70" s="12">
        <v>153.89058129608003</v>
      </c>
      <c r="L70" s="12">
        <v>10.027741394452693</v>
      </c>
      <c r="M70" s="12">
        <v>90.018838605692096</v>
      </c>
      <c r="N70" s="12">
        <v>103.77022215975698</v>
      </c>
      <c r="O70" s="12">
        <v>104.7556039811771</v>
      </c>
    </row>
    <row r="71" spans="1:15" ht="15" customHeight="1" x14ac:dyDescent="0.2">
      <c r="A71" s="10">
        <v>44713</v>
      </c>
      <c r="B71" s="12">
        <v>89.510136168154787</v>
      </c>
      <c r="C71" s="12">
        <v>68.681482438029903</v>
      </c>
      <c r="D71" s="12">
        <v>79.817004244221295</v>
      </c>
      <c r="E71" s="12">
        <v>44.031656070802313</v>
      </c>
      <c r="F71" s="12">
        <v>140.96540760423991</v>
      </c>
      <c r="G71" s="12">
        <v>4.6820080905879848</v>
      </c>
      <c r="H71" s="12">
        <v>131.84668545159357</v>
      </c>
      <c r="I71" s="12">
        <v>41.549258339924947</v>
      </c>
      <c r="J71" s="12">
        <v>91.073361062517819</v>
      </c>
      <c r="K71" s="12">
        <v>268.03618754806212</v>
      </c>
      <c r="L71" s="12">
        <v>12.523681261002567</v>
      </c>
      <c r="M71" s="12">
        <v>90.295528693602762</v>
      </c>
      <c r="N71" s="12">
        <v>159.83380845053313</v>
      </c>
      <c r="O71" s="12">
        <v>102.23974475825193</v>
      </c>
    </row>
    <row r="72" spans="1:15" ht="15" customHeight="1" x14ac:dyDescent="0.2">
      <c r="A72" s="10">
        <v>44743</v>
      </c>
      <c r="B72" s="12">
        <v>127.09216316107641</v>
      </c>
      <c r="C72" s="12">
        <v>42.083127797585362</v>
      </c>
      <c r="D72" s="12">
        <v>87.531094779932076</v>
      </c>
      <c r="E72" s="12">
        <v>81.884616953680649</v>
      </c>
      <c r="F72" s="12">
        <v>126.36072055416894</v>
      </c>
      <c r="G72" s="12">
        <v>96.085340366914949</v>
      </c>
      <c r="H72" s="12">
        <v>126.22997334574448</v>
      </c>
      <c r="I72" s="12">
        <v>16.393974035616267</v>
      </c>
      <c r="J72" s="12">
        <v>99.298361071540768</v>
      </c>
      <c r="K72" s="12">
        <v>169.72205248440011</v>
      </c>
      <c r="L72" s="12">
        <v>10.373701993663204</v>
      </c>
      <c r="M72" s="12">
        <v>66.787764941682966</v>
      </c>
      <c r="N72" s="12">
        <v>104.59608650706842</v>
      </c>
      <c r="O72" s="12">
        <v>97.250699775291736</v>
      </c>
    </row>
    <row r="73" spans="1:15" ht="15" customHeight="1" x14ac:dyDescent="0.2">
      <c r="A73" s="10">
        <v>44774</v>
      </c>
      <c r="B73" s="12">
        <v>152.98121253635895</v>
      </c>
      <c r="C73" s="12">
        <v>57.926997557871658</v>
      </c>
      <c r="D73" s="12">
        <v>108.74537004502146</v>
      </c>
      <c r="E73" s="12">
        <v>95.46048428026819</v>
      </c>
      <c r="F73" s="12">
        <v>133.49886778159964</v>
      </c>
      <c r="G73" s="12">
        <v>57.802679221646251</v>
      </c>
      <c r="H73" s="12">
        <v>155.42761296695869</v>
      </c>
      <c r="I73" s="12">
        <v>124.75107111788311</v>
      </c>
      <c r="J73" s="12">
        <v>120.7741402659526</v>
      </c>
      <c r="K73" s="12">
        <v>180.89334281311244</v>
      </c>
      <c r="L73" s="12">
        <v>16.96744901928956</v>
      </c>
      <c r="M73" s="12">
        <v>90.645596923715516</v>
      </c>
      <c r="N73" s="12">
        <v>118.55392340449886</v>
      </c>
      <c r="O73" s="12">
        <v>116.92497596365172</v>
      </c>
    </row>
    <row r="74" spans="1:15" ht="15" customHeight="1" x14ac:dyDescent="0.2">
      <c r="A74" s="10">
        <v>44805</v>
      </c>
      <c r="B74" s="12">
        <v>118.6832210555968</v>
      </c>
      <c r="C74" s="12">
        <v>54.322893148697176</v>
      </c>
      <c r="D74" s="12">
        <v>88.731542125579949</v>
      </c>
      <c r="E74" s="12">
        <v>97.229238016748013</v>
      </c>
      <c r="F74" s="12">
        <v>118.54429422401982</v>
      </c>
      <c r="G74" s="12">
        <v>17.239285625203696</v>
      </c>
      <c r="H74" s="12">
        <v>126.76214144176598</v>
      </c>
      <c r="I74" s="12">
        <v>76.081598410532479</v>
      </c>
      <c r="J74" s="12">
        <v>100.60201320721804</v>
      </c>
      <c r="K74" s="12">
        <v>154.74393310911663</v>
      </c>
      <c r="L74" s="12">
        <v>7.6242223682923189</v>
      </c>
      <c r="M74" s="12">
        <v>71.062634617287856</v>
      </c>
      <c r="N74" s="12">
        <v>97.993965179212196</v>
      </c>
      <c r="O74" s="12">
        <v>102.72522222755568</v>
      </c>
    </row>
    <row r="75" spans="1:15" ht="15" customHeight="1" x14ac:dyDescent="0.2">
      <c r="A75" s="10">
        <v>44835</v>
      </c>
      <c r="B75" s="12">
        <v>123.56553332193691</v>
      </c>
      <c r="C75" s="12">
        <v>61.64914180603197</v>
      </c>
      <c r="D75" s="12">
        <v>94.751200960668882</v>
      </c>
      <c r="E75" s="12">
        <v>94.661565524488964</v>
      </c>
      <c r="F75" s="12">
        <v>136.8275423349898</v>
      </c>
      <c r="G75" s="12">
        <v>65.069958120121569</v>
      </c>
      <c r="H75" s="12">
        <v>117.59006919153336</v>
      </c>
      <c r="I75" s="12">
        <v>71.760877880817304</v>
      </c>
      <c r="J75" s="12">
        <v>106.25825848128574</v>
      </c>
      <c r="K75" s="12">
        <v>309.0026778495681</v>
      </c>
      <c r="L75" s="12">
        <v>8.097862978421368</v>
      </c>
      <c r="M75" s="12">
        <v>81.967564859625099</v>
      </c>
      <c r="N75" s="12">
        <v>176.27410064322166</v>
      </c>
      <c r="O75" s="12">
        <v>117.49175406016491</v>
      </c>
    </row>
    <row r="76" spans="1:15" ht="15" customHeight="1" x14ac:dyDescent="0.2">
      <c r="A76" s="10">
        <v>44866</v>
      </c>
      <c r="B76" s="12">
        <v>131.35699194771053</v>
      </c>
      <c r="C76" s="12">
        <v>67.724617035531168</v>
      </c>
      <c r="D76" s="12">
        <v>101.74408404455281</v>
      </c>
      <c r="E76" s="12">
        <v>111.42191609274266</v>
      </c>
      <c r="F76" s="12">
        <v>144.22187043199921</v>
      </c>
      <c r="G76" s="12">
        <v>93.261890488604109</v>
      </c>
      <c r="H76" s="12">
        <v>131.95547966695406</v>
      </c>
      <c r="I76" s="12">
        <v>143.98185266583283</v>
      </c>
      <c r="J76" s="12">
        <v>119.19560706135334</v>
      </c>
      <c r="K76" s="12">
        <v>217.45499690799926</v>
      </c>
      <c r="L76" s="12">
        <v>25.515847571359163</v>
      </c>
      <c r="M76" s="12">
        <v>73.906589250978172</v>
      </c>
      <c r="N76" s="12">
        <v>133.19661047527376</v>
      </c>
      <c r="O76" s="12">
        <v>117.69394983745173</v>
      </c>
    </row>
    <row r="77" spans="1:15" ht="15" customHeight="1" x14ac:dyDescent="0.2">
      <c r="A77" s="10">
        <v>44896</v>
      </c>
      <c r="B77" s="12">
        <v>133.93222167366068</v>
      </c>
      <c r="C77" s="12">
        <v>74.739091906266097</v>
      </c>
      <c r="D77" s="12">
        <v>106.38522688176873</v>
      </c>
      <c r="E77" s="12">
        <v>111.2056837231551</v>
      </c>
      <c r="F77" s="12">
        <v>127.02470220285895</v>
      </c>
      <c r="G77" s="12">
        <v>302.95092520788745</v>
      </c>
      <c r="H77" s="12">
        <v>114.10182942569296</v>
      </c>
      <c r="I77" s="12">
        <v>147.04650313075567</v>
      </c>
      <c r="J77" s="12">
        <v>119.54773395199406</v>
      </c>
      <c r="K77" s="12">
        <v>243.1071672680412</v>
      </c>
      <c r="L77" s="12">
        <v>17.296987544866983</v>
      </c>
      <c r="M77" s="12">
        <v>87.43209895480571</v>
      </c>
      <c r="N77" s="12">
        <v>147.84743771662593</v>
      </c>
      <c r="O77" s="12">
        <v>121.77364487881506</v>
      </c>
    </row>
    <row r="78" spans="1:15" ht="15" customHeight="1" x14ac:dyDescent="0.2">
      <c r="A78" s="11">
        <v>44927</v>
      </c>
      <c r="B78" s="120">
        <v>115.72057103393576</v>
      </c>
      <c r="C78" s="120">
        <v>101.75599832632109</v>
      </c>
      <c r="D78" s="120">
        <v>109.22180989122705</v>
      </c>
      <c r="E78" s="120">
        <v>148.57101256176082</v>
      </c>
      <c r="F78" s="120">
        <v>156.78879017459445</v>
      </c>
      <c r="G78" s="120">
        <v>42.335164714340792</v>
      </c>
      <c r="H78" s="120">
        <v>112.96870227959123</v>
      </c>
      <c r="I78" s="120">
        <v>41.992981312837379</v>
      </c>
      <c r="J78" s="120">
        <v>130.88430675011327</v>
      </c>
      <c r="K78" s="120">
        <v>537.55054008209629</v>
      </c>
      <c r="L78" s="120">
        <v>6.1257043673618297</v>
      </c>
      <c r="M78" s="120">
        <v>77.523645476057453</v>
      </c>
      <c r="N78" s="120">
        <v>285.46516338208738</v>
      </c>
      <c r="O78" s="120">
        <v>157.39441422259881</v>
      </c>
    </row>
    <row r="79" spans="1:15" ht="15" customHeight="1" x14ac:dyDescent="0.2">
      <c r="A79" s="11">
        <v>44958</v>
      </c>
      <c r="B79" s="120">
        <v>111.15351660039866</v>
      </c>
      <c r="C79" s="120">
        <v>62.405180519613566</v>
      </c>
      <c r="D79" s="120">
        <v>88.467266263446874</v>
      </c>
      <c r="E79" s="120">
        <v>59.864382331864917</v>
      </c>
      <c r="F79" s="120">
        <v>105.04271926142314</v>
      </c>
      <c r="G79" s="120">
        <v>18.824382947891081</v>
      </c>
      <c r="H79" s="120">
        <v>104.61851583063832</v>
      </c>
      <c r="I79" s="120">
        <v>108.96999686377087</v>
      </c>
      <c r="J79" s="120">
        <v>81.841700279801003</v>
      </c>
      <c r="K79" s="120">
        <v>322.5851373548976</v>
      </c>
      <c r="L79" s="120">
        <v>10.552577461959912</v>
      </c>
      <c r="M79" s="120">
        <v>59.832373284617077</v>
      </c>
      <c r="N79" s="120">
        <v>176.82235632366934</v>
      </c>
      <c r="O79" s="120">
        <v>101.78946372441311</v>
      </c>
    </row>
    <row r="80" spans="1:15" ht="15" customHeight="1" x14ac:dyDescent="0.2">
      <c r="A80" s="11">
        <v>44986</v>
      </c>
      <c r="B80" s="120">
        <v>125.05279719951265</v>
      </c>
      <c r="C80" s="120">
        <v>71.012239263325441</v>
      </c>
      <c r="D80" s="120">
        <v>99.90367982949175</v>
      </c>
      <c r="E80" s="120">
        <v>113.83350114323459</v>
      </c>
      <c r="F80" s="120">
        <v>116.3085426549346</v>
      </c>
      <c r="G80" s="120">
        <v>29.12785030624471</v>
      </c>
      <c r="H80" s="120">
        <v>113.92889964604171</v>
      </c>
      <c r="I80" s="120">
        <v>114.73107019297565</v>
      </c>
      <c r="J80" s="120">
        <v>105.86935356037935</v>
      </c>
      <c r="K80" s="120">
        <v>324.47054439229396</v>
      </c>
      <c r="L80" s="120">
        <v>17.771881173014883</v>
      </c>
      <c r="M80" s="120">
        <v>71.125538152229467</v>
      </c>
      <c r="N80" s="120">
        <v>182.65853437075396</v>
      </c>
      <c r="O80" s="120">
        <v>119.5222599470752</v>
      </c>
    </row>
    <row r="81" spans="1:15" ht="15" customHeight="1" x14ac:dyDescent="0.2">
      <c r="A81" s="11">
        <v>45017</v>
      </c>
      <c r="B81" s="120">
        <v>110.77815184308486</v>
      </c>
      <c r="C81" s="120">
        <v>63.204736691844325</v>
      </c>
      <c r="D81" s="120">
        <v>88.63868017545218</v>
      </c>
      <c r="E81" s="120">
        <v>160.07244980887972</v>
      </c>
      <c r="F81" s="120">
        <v>112.81274501163031</v>
      </c>
      <c r="G81" s="120">
        <v>53.473716113960499</v>
      </c>
      <c r="H81" s="120">
        <v>110.0573873006077</v>
      </c>
      <c r="I81" s="120">
        <v>88.09390793605678</v>
      </c>
      <c r="J81" s="120">
        <v>122.50612573352554</v>
      </c>
      <c r="K81" s="120">
        <v>335.28136047693744</v>
      </c>
      <c r="L81" s="120">
        <v>8.4705660291183591</v>
      </c>
      <c r="M81" s="120">
        <v>56.907369796830245</v>
      </c>
      <c r="N81" s="120">
        <v>181.60106720726003</v>
      </c>
      <c r="O81" s="120">
        <v>127.23708920422581</v>
      </c>
    </row>
    <row r="82" spans="1:15" ht="15" customHeight="1" x14ac:dyDescent="0.2">
      <c r="A82" s="11">
        <v>45047</v>
      </c>
      <c r="B82" s="120">
        <v>175.96773811601909</v>
      </c>
      <c r="C82" s="120">
        <v>58.371173672239372</v>
      </c>
      <c r="D82" s="120">
        <v>121.2412527788378</v>
      </c>
      <c r="E82" s="120">
        <v>151.63882191317327</v>
      </c>
      <c r="F82" s="120">
        <v>125.71887381396088</v>
      </c>
      <c r="G82" s="120">
        <v>56.928189705348267</v>
      </c>
      <c r="H82" s="120">
        <v>127.26907048379313</v>
      </c>
      <c r="I82" s="120">
        <v>101.79384259937419</v>
      </c>
      <c r="J82" s="120">
        <v>127.89126062981585</v>
      </c>
      <c r="K82" s="120">
        <v>155.13425237213579</v>
      </c>
      <c r="L82" s="120">
        <v>8.6534905848990711</v>
      </c>
      <c r="M82" s="120">
        <v>77.616928969147807</v>
      </c>
      <c r="N82" s="120">
        <v>100.3960896096938</v>
      </c>
      <c r="O82" s="120">
        <v>119.77213132647941</v>
      </c>
    </row>
    <row r="83" spans="1:15" ht="15" customHeight="1" x14ac:dyDescent="0.2">
      <c r="A83" s="11">
        <v>45078</v>
      </c>
      <c r="B83" s="120">
        <v>135.44719542866287</v>
      </c>
      <c r="C83" s="120">
        <v>66.417350275328715</v>
      </c>
      <c r="D83" s="120">
        <v>103.32244053909382</v>
      </c>
      <c r="E83" s="120">
        <v>101.46686266272265</v>
      </c>
      <c r="F83" s="120">
        <v>120.53371900267204</v>
      </c>
      <c r="G83" s="120">
        <v>124.79399124622249</v>
      </c>
      <c r="H83" s="120">
        <v>117.12029470907606</v>
      </c>
      <c r="I83" s="120">
        <v>135.31208914563598</v>
      </c>
      <c r="J83" s="120">
        <v>125.97280250428845</v>
      </c>
      <c r="K83" s="120">
        <v>302.74659176875736</v>
      </c>
      <c r="L83" s="120">
        <v>17.680730427779075</v>
      </c>
      <c r="M83" s="120">
        <v>97.230326946716019</v>
      </c>
      <c r="N83" s="120">
        <v>179.93011438340409</v>
      </c>
      <c r="O83" s="120">
        <v>131.66228674162414</v>
      </c>
    </row>
    <row r="84" spans="1:15" ht="15" customHeight="1" x14ac:dyDescent="0.2">
      <c r="A84" s="11">
        <v>45108</v>
      </c>
      <c r="B84" s="120">
        <v>146.09514540118946</v>
      </c>
      <c r="C84" s="120">
        <v>74.287355571172881</v>
      </c>
      <c r="D84" s="120">
        <v>112.67760488191229</v>
      </c>
      <c r="E84" s="120">
        <v>143.66844918462843</v>
      </c>
      <c r="F84" s="120">
        <v>130.28152418628861</v>
      </c>
      <c r="G84" s="120">
        <v>111.62391208706191</v>
      </c>
      <c r="H84" s="120">
        <v>130.51940708678228</v>
      </c>
      <c r="I84" s="120">
        <v>29.513368351987705</v>
      </c>
      <c r="J84" s="120">
        <v>128.12476753704595</v>
      </c>
      <c r="K84" s="120">
        <v>273.52909231908251</v>
      </c>
      <c r="L84" s="120">
        <v>23.844606573556522</v>
      </c>
      <c r="M84" s="120">
        <v>86.834506833170352</v>
      </c>
      <c r="N84" s="120">
        <v>163.98936309048986</v>
      </c>
      <c r="O84" s="120">
        <v>131.40016899908304</v>
      </c>
    </row>
    <row r="85" spans="1:15" ht="15" customHeight="1" x14ac:dyDescent="0.2">
      <c r="A85" s="11">
        <v>45139</v>
      </c>
      <c r="B85" s="120">
        <v>131.0594513175154</v>
      </c>
      <c r="C85" s="120">
        <v>81.608744284768719</v>
      </c>
      <c r="D85" s="120">
        <v>108.04633519340737</v>
      </c>
      <c r="E85" s="120">
        <v>115.22851013846697</v>
      </c>
      <c r="F85" s="120">
        <v>127.84962819735172</v>
      </c>
      <c r="G85" s="120">
        <v>132.99110811684747</v>
      </c>
      <c r="H85" s="120">
        <v>146.5757309782914</v>
      </c>
      <c r="I85" s="120">
        <v>8.6211102550393885</v>
      </c>
      <c r="J85" s="120">
        <v>120.4086411537841</v>
      </c>
      <c r="K85" s="120">
        <v>301.1853395110972</v>
      </c>
      <c r="L85" s="120">
        <v>10.377534935537327</v>
      </c>
      <c r="M85" s="120">
        <v>102.03320608863582</v>
      </c>
      <c r="N85" s="120">
        <v>178.94923561399011</v>
      </c>
      <c r="O85" s="120">
        <v>128.98672390872997</v>
      </c>
    </row>
    <row r="86" spans="1:15" ht="15" customHeight="1" x14ac:dyDescent="0.2">
      <c r="A86" s="11">
        <v>45170</v>
      </c>
      <c r="B86" s="120">
        <v>93.019561836306352</v>
      </c>
      <c r="C86" s="120">
        <v>80.318462870113407</v>
      </c>
      <c r="D86" s="120">
        <v>87.108789615815581</v>
      </c>
      <c r="E86" s="120">
        <v>124.60454415250341</v>
      </c>
      <c r="F86" s="120">
        <v>114.87066554483444</v>
      </c>
      <c r="G86" s="120">
        <v>110.96898402144849</v>
      </c>
      <c r="H86" s="120">
        <v>130.7473921990177</v>
      </c>
      <c r="I86" s="120">
        <v>251.74818666972081</v>
      </c>
      <c r="J86" s="120">
        <v>123.83967234358036</v>
      </c>
      <c r="K86" s="120">
        <v>226.73466434087305</v>
      </c>
      <c r="L86" s="120">
        <v>37.212063467202192</v>
      </c>
      <c r="M86" s="120">
        <v>90.048061709438699</v>
      </c>
      <c r="N86" s="120">
        <v>145.04245778417334</v>
      </c>
      <c r="O86" s="120">
        <v>126.03718392386912</v>
      </c>
    </row>
    <row r="87" spans="1:15" ht="15" customHeight="1" x14ac:dyDescent="0.2">
      <c r="A87" s="11">
        <v>45200</v>
      </c>
      <c r="B87" s="120">
        <v>119.7444142857249</v>
      </c>
      <c r="C87" s="120">
        <v>94.822402594195552</v>
      </c>
      <c r="D87" s="120">
        <v>108.14633645189848</v>
      </c>
      <c r="E87" s="120">
        <v>136.6049133287398</v>
      </c>
      <c r="F87" s="120">
        <v>137.41760324414258</v>
      </c>
      <c r="G87" s="120">
        <v>61.166071327348448</v>
      </c>
      <c r="H87" s="120">
        <v>154.15997192550572</v>
      </c>
      <c r="I87" s="120">
        <v>118.72288350073616</v>
      </c>
      <c r="J87" s="120">
        <v>137.40906065321121</v>
      </c>
      <c r="K87" s="120">
        <v>344.90180360323865</v>
      </c>
      <c r="L87" s="120">
        <v>14.636464472572305</v>
      </c>
      <c r="M87" s="120">
        <v>111.49904983094738</v>
      </c>
      <c r="N87" s="120">
        <v>204.00468921475874</v>
      </c>
      <c r="O87" s="120">
        <v>144.45701053524965</v>
      </c>
    </row>
    <row r="88" spans="1:15" ht="15" customHeight="1" x14ac:dyDescent="0.2">
      <c r="A88" s="11">
        <v>45231</v>
      </c>
      <c r="B88" s="120">
        <v>105.74593977402884</v>
      </c>
      <c r="C88" s="120">
        <v>113.12298585565438</v>
      </c>
      <c r="D88" s="120">
        <v>109.17903160054051</v>
      </c>
      <c r="E88" s="120">
        <v>100.19787133497117</v>
      </c>
      <c r="F88" s="120">
        <v>134.99794740395055</v>
      </c>
      <c r="G88" s="120">
        <v>185.60223214247333</v>
      </c>
      <c r="H88" s="120">
        <v>143.5992963300333</v>
      </c>
      <c r="I88" s="120">
        <v>84.970386620851301</v>
      </c>
      <c r="J88" s="120">
        <v>126.03895795332616</v>
      </c>
      <c r="K88" s="120">
        <v>247.58119520697178</v>
      </c>
      <c r="L88" s="120">
        <v>17.145986121504052</v>
      </c>
      <c r="M88" s="120">
        <v>103.42709757887239</v>
      </c>
      <c r="N88" s="120">
        <v>154.84741880692619</v>
      </c>
      <c r="O88" s="120">
        <v>127.62263041864649</v>
      </c>
    </row>
    <row r="89" spans="1:15" ht="15" customHeight="1" x14ac:dyDescent="0.2">
      <c r="A89" s="11">
        <v>45261</v>
      </c>
      <c r="B89" s="120">
        <v>118.9783383668935</v>
      </c>
      <c r="C89" s="120">
        <v>87.686438471491243</v>
      </c>
      <c r="D89" s="120">
        <v>104.41587466824539</v>
      </c>
      <c r="E89" s="120">
        <v>140.02586195502894</v>
      </c>
      <c r="F89" s="120">
        <v>122.79051953665486</v>
      </c>
      <c r="G89" s="120">
        <v>231.46634334792617</v>
      </c>
      <c r="H89" s="120">
        <v>146.76419187732691</v>
      </c>
      <c r="I89" s="120">
        <v>106.19037459827894</v>
      </c>
      <c r="J89" s="120">
        <v>132.15972518863964</v>
      </c>
      <c r="K89" s="120">
        <v>357.17720150781605</v>
      </c>
      <c r="L89" s="120">
        <v>25.901228638333556</v>
      </c>
      <c r="M89" s="120">
        <v>95.068462240331243</v>
      </c>
      <c r="N89" s="120">
        <v>207.40100585646908</v>
      </c>
      <c r="O89" s="120">
        <v>141.21784652689377</v>
      </c>
    </row>
    <row r="90" spans="1:15" ht="15" customHeight="1" x14ac:dyDescent="0.2">
      <c r="A90" s="10" t="s">
        <v>347</v>
      </c>
      <c r="B90" s="12">
        <v>127.22808083610335</v>
      </c>
      <c r="C90" s="12">
        <v>108.07839865092949</v>
      </c>
      <c r="D90" s="12">
        <v>118.31630006873559</v>
      </c>
      <c r="E90" s="12">
        <v>125.49717928267924</v>
      </c>
      <c r="F90" s="12">
        <v>157.95462688254659</v>
      </c>
      <c r="G90" s="12">
        <v>52.186587781315971</v>
      </c>
      <c r="H90" s="12">
        <v>156.53538505802211</v>
      </c>
      <c r="I90" s="12">
        <v>81.15519311865711</v>
      </c>
      <c r="J90" s="12">
        <v>138.07250297369026</v>
      </c>
      <c r="K90" s="12">
        <v>572.66425998618502</v>
      </c>
      <c r="L90" s="12">
        <v>20.139262327341925</v>
      </c>
      <c r="M90" s="12">
        <v>109.87835079534138</v>
      </c>
      <c r="N90" s="12">
        <v>315.23333584904293</v>
      </c>
      <c r="O90" s="12">
        <v>169.49334645070695</v>
      </c>
    </row>
    <row r="91" spans="1:15" ht="15" customHeight="1" x14ac:dyDescent="0.2">
      <c r="A91" s="10" t="s">
        <v>348</v>
      </c>
      <c r="B91" s="12">
        <v>101.16584315487134</v>
      </c>
      <c r="C91" s="12">
        <v>107.66991841732008</v>
      </c>
      <c r="D91" s="12">
        <v>104.19267630400212</v>
      </c>
      <c r="E91" s="12">
        <v>99.14026040182577</v>
      </c>
      <c r="F91" s="12">
        <v>171.45589134522064</v>
      </c>
      <c r="G91" s="12">
        <v>25.372334432781575</v>
      </c>
      <c r="H91" s="12">
        <v>172.12380946195549</v>
      </c>
      <c r="I91" s="12">
        <v>11.099988109567716</v>
      </c>
      <c r="J91" s="12">
        <v>123.68759839409127</v>
      </c>
      <c r="K91" s="12">
        <v>472.33179156840947</v>
      </c>
      <c r="L91" s="12">
        <v>14.244428806369665</v>
      </c>
      <c r="M91" s="12">
        <v>108.65769944832202</v>
      </c>
      <c r="N91" s="12">
        <v>264.89623734785965</v>
      </c>
      <c r="O91" s="12">
        <v>147.91828440443672</v>
      </c>
    </row>
    <row r="92" spans="1:15" ht="15" customHeight="1" x14ac:dyDescent="0.2">
      <c r="A92" s="10" t="s">
        <v>349</v>
      </c>
      <c r="B92" s="12">
        <v>126.50570183475766</v>
      </c>
      <c r="C92" s="12">
        <v>83.626498261651093</v>
      </c>
      <c r="D92" s="12">
        <v>106.5507982479654</v>
      </c>
      <c r="E92" s="12">
        <v>161.17394744684466</v>
      </c>
      <c r="F92" s="12">
        <v>114.12273446449676</v>
      </c>
      <c r="G92" s="12">
        <v>30.959098689059093</v>
      </c>
      <c r="H92" s="12">
        <v>178.29840854918436</v>
      </c>
      <c r="I92" s="12">
        <v>45.463499938089768</v>
      </c>
      <c r="J92" s="12">
        <v>140.29703176442578</v>
      </c>
      <c r="K92" s="12">
        <v>302.05142024255997</v>
      </c>
      <c r="L92" s="12">
        <v>10.30786079053596</v>
      </c>
      <c r="M92" s="12">
        <v>93.652950733020361</v>
      </c>
      <c r="N92" s="12">
        <v>176.91608241047706</v>
      </c>
      <c r="O92" s="12">
        <v>140.236901683133</v>
      </c>
    </row>
    <row r="93" spans="1:15" ht="15" customHeight="1" x14ac:dyDescent="0.2">
      <c r="A93" s="10" t="s">
        <v>350</v>
      </c>
      <c r="B93" s="12">
        <v>113.07268132533495</v>
      </c>
      <c r="C93" s="12">
        <v>81.076080287953573</v>
      </c>
      <c r="D93" s="12">
        <v>98.182267427665025</v>
      </c>
      <c r="E93" s="12">
        <v>127.58706692505791</v>
      </c>
      <c r="F93" s="12">
        <v>122.91488701780321</v>
      </c>
      <c r="G93" s="12">
        <v>43.77752974765545</v>
      </c>
      <c r="H93" s="12">
        <v>157.24333297985137</v>
      </c>
      <c r="I93" s="12">
        <v>164.45426370720062</v>
      </c>
      <c r="J93" s="12">
        <v>130.39978693512055</v>
      </c>
      <c r="K93" s="12">
        <v>399.54154172605081</v>
      </c>
      <c r="L93" s="12">
        <v>21.589018229093799</v>
      </c>
      <c r="M93" s="12">
        <v>79.407192043057734</v>
      </c>
      <c r="N93" s="12">
        <v>222.37869266398641</v>
      </c>
      <c r="O93" s="12">
        <v>142.09258452879777</v>
      </c>
    </row>
    <row r="94" spans="1:15" ht="15" customHeight="1" x14ac:dyDescent="0.2">
      <c r="A94" s="10" t="s">
        <v>351</v>
      </c>
      <c r="B94" s="12">
        <v>95.762222483291211</v>
      </c>
      <c r="C94" s="12">
        <v>83.200082751390099</v>
      </c>
      <c r="D94" s="12">
        <v>89.916118397740462</v>
      </c>
      <c r="E94" s="12">
        <v>108.69616330472292</v>
      </c>
      <c r="F94" s="12">
        <v>132.50621692789463</v>
      </c>
      <c r="G94" s="12">
        <v>102.4111562668954</v>
      </c>
      <c r="H94" s="12">
        <v>152.15664785341775</v>
      </c>
      <c r="I94" s="12">
        <v>204.79958810363311</v>
      </c>
      <c r="J94" s="12">
        <v>128.74360138307409</v>
      </c>
      <c r="K94" s="12">
        <v>224.14747555780815</v>
      </c>
      <c r="L94" s="12">
        <v>28.1636376429542</v>
      </c>
      <c r="M94" s="12">
        <v>104.36025888176516</v>
      </c>
      <c r="N94" s="12">
        <v>146.10948914368214</v>
      </c>
      <c r="O94" s="12">
        <v>123.89599427140186</v>
      </c>
    </row>
    <row r="95" spans="1:15" ht="15" customHeight="1" x14ac:dyDescent="0.2">
      <c r="A95" s="10" t="s">
        <v>352</v>
      </c>
      <c r="B95" s="12">
        <v>117.05792019099069</v>
      </c>
      <c r="C95" s="12">
        <v>74.61419747886427</v>
      </c>
      <c r="D95" s="12">
        <v>97.305678451215641</v>
      </c>
      <c r="E95" s="12">
        <v>129.59646750604298</v>
      </c>
      <c r="F95" s="12">
        <v>148.51981506579665</v>
      </c>
      <c r="G95" s="12">
        <v>35.523824549610111</v>
      </c>
      <c r="H95" s="12">
        <v>138.52578834845599</v>
      </c>
      <c r="I95" s="12">
        <v>47.270292889165098</v>
      </c>
      <c r="J95" s="12">
        <v>132.31866669600751</v>
      </c>
      <c r="K95" s="12">
        <v>351.86243850895136</v>
      </c>
      <c r="L95" s="12">
        <v>18.757160825763151</v>
      </c>
      <c r="M95" s="12">
        <v>113.19989192779222</v>
      </c>
      <c r="N95" s="12">
        <v>208.76198542223312</v>
      </c>
      <c r="O95" s="12">
        <v>140.27902286280565</v>
      </c>
    </row>
    <row r="96" spans="1:15" ht="15" customHeight="1" x14ac:dyDescent="0.2">
      <c r="A96" s="10" t="s">
        <v>353</v>
      </c>
      <c r="B96" s="12">
        <v>146.58357810318009</v>
      </c>
      <c r="C96" s="12">
        <v>114.91337758772167</v>
      </c>
      <c r="D96" s="12">
        <v>131.84506280443233</v>
      </c>
      <c r="E96" s="12">
        <v>116.90197123635157</v>
      </c>
      <c r="F96" s="12">
        <v>185.29274765018403</v>
      </c>
      <c r="G96" s="12">
        <v>85.454063927433452</v>
      </c>
      <c r="H96" s="12">
        <v>202.73954900957722</v>
      </c>
      <c r="I96" s="12">
        <v>99.314102185422868</v>
      </c>
      <c r="J96" s="12">
        <v>154.59816633500901</v>
      </c>
      <c r="K96" s="12">
        <v>425.39086272439118</v>
      </c>
      <c r="L96" s="12">
        <v>35.947838734399184</v>
      </c>
      <c r="M96" s="12">
        <v>136.92827935762054</v>
      </c>
      <c r="N96" s="12">
        <v>255.22226853492751</v>
      </c>
      <c r="O96" s="12">
        <v>169.58144784552422</v>
      </c>
    </row>
    <row r="97" spans="1:15" ht="15" customHeight="1" x14ac:dyDescent="0.2">
      <c r="A97" s="10" t="s">
        <v>354</v>
      </c>
      <c r="B97" s="12">
        <v>157.2263199439351</v>
      </c>
      <c r="C97" s="12">
        <v>95.670041265035096</v>
      </c>
      <c r="D97" s="12">
        <v>128.57957504567921</v>
      </c>
      <c r="E97" s="12">
        <v>123.71799399351835</v>
      </c>
      <c r="F97" s="12">
        <v>162.6626574305819</v>
      </c>
      <c r="G97" s="12">
        <v>176.30224838164847</v>
      </c>
      <c r="H97" s="12">
        <v>184.17781660696232</v>
      </c>
      <c r="I97" s="12">
        <v>180.9241437525003</v>
      </c>
      <c r="J97" s="12">
        <v>152.64262367370614</v>
      </c>
      <c r="K97" s="12">
        <v>314.63736980209848</v>
      </c>
      <c r="L97" s="12">
        <v>33.458040299224074</v>
      </c>
      <c r="M97" s="12">
        <v>105.29089196156448</v>
      </c>
      <c r="N97" s="12">
        <v>191.44854871245215</v>
      </c>
      <c r="O97" s="12">
        <v>154.69427462688128</v>
      </c>
    </row>
    <row r="98" spans="1:15" ht="15" customHeight="1" x14ac:dyDescent="0.2">
      <c r="A98" s="10" t="s">
        <v>355</v>
      </c>
      <c r="B98" s="12">
        <v>118.25051010645288</v>
      </c>
      <c r="C98" s="12">
        <v>100.61831446730132</v>
      </c>
      <c r="D98" s="12">
        <v>110.04492943602726</v>
      </c>
      <c r="E98" s="12">
        <v>142.05345181868424</v>
      </c>
      <c r="F98" s="12">
        <v>152.77961396203591</v>
      </c>
      <c r="G98" s="12">
        <v>144.55260070551208</v>
      </c>
      <c r="H98" s="12">
        <v>174.8279491444209</v>
      </c>
      <c r="I98" s="12">
        <v>226.44835833086711</v>
      </c>
      <c r="J98" s="12">
        <v>154.49693996450776</v>
      </c>
      <c r="K98" s="12">
        <v>330.30145267993845</v>
      </c>
      <c r="L98" s="12">
        <v>39.1094153390573</v>
      </c>
      <c r="M98" s="12">
        <v>119.17357481360025</v>
      </c>
      <c r="N98" s="12">
        <v>204.4411625075991</v>
      </c>
      <c r="O98" s="12">
        <v>160.88272546940885</v>
      </c>
    </row>
    <row r="99" spans="1:15" ht="15" customHeight="1" x14ac:dyDescent="0.2">
      <c r="A99" s="10" t="s">
        <v>356</v>
      </c>
      <c r="B99" s="12">
        <v>116.55623243805732</v>
      </c>
      <c r="C99" s="12">
        <v>115.62809227872799</v>
      </c>
      <c r="D99" s="12">
        <v>116.12429933643455</v>
      </c>
      <c r="E99" s="12">
        <v>122.95071950700554</v>
      </c>
      <c r="F99" s="12">
        <v>173.07109345206581</v>
      </c>
      <c r="G99" s="12">
        <v>188.18726564081925</v>
      </c>
      <c r="H99" s="12">
        <v>176.1204000881709</v>
      </c>
      <c r="I99" s="12">
        <v>171.72107698090335</v>
      </c>
      <c r="J99" s="12">
        <v>156.69778673834782</v>
      </c>
      <c r="K99" s="12">
        <v>391.5021580701025</v>
      </c>
      <c r="L99" s="12">
        <v>37.684254502159455</v>
      </c>
      <c r="M99" s="12">
        <v>127.25931497987413</v>
      </c>
      <c r="N99" s="12">
        <v>236.27417183423853</v>
      </c>
      <c r="O99" s="12">
        <v>164.07433402267966</v>
      </c>
    </row>
    <row r="100" spans="1:15" ht="15" customHeight="1" x14ac:dyDescent="0.2">
      <c r="A100" s="10" t="s">
        <v>357</v>
      </c>
      <c r="B100" s="12">
        <v>115.54983300643892</v>
      </c>
      <c r="C100" s="12">
        <v>138.64344650151651</v>
      </c>
      <c r="D100" s="12">
        <v>126.29702027588593</v>
      </c>
      <c r="E100" s="12">
        <v>118.38255263739671</v>
      </c>
      <c r="F100" s="12">
        <v>160.85497609882935</v>
      </c>
      <c r="G100" s="12">
        <v>75.487927828689962</v>
      </c>
      <c r="H100" s="12">
        <v>148.00238575053095</v>
      </c>
      <c r="I100" s="12">
        <v>165.1147354901656</v>
      </c>
      <c r="J100" s="12">
        <v>137.30783602178062</v>
      </c>
      <c r="K100" s="12">
        <v>253.25783887099104</v>
      </c>
      <c r="L100" s="12">
        <v>23.27206692541564</v>
      </c>
      <c r="M100" s="12">
        <v>112.39200201084414</v>
      </c>
      <c r="N100" s="12">
        <v>161.71718286072152</v>
      </c>
      <c r="O100" s="12">
        <v>138.95751819392706</v>
      </c>
    </row>
    <row r="101" spans="1:15" ht="15" customHeight="1" x14ac:dyDescent="0.2">
      <c r="A101" s="10" t="s">
        <v>358</v>
      </c>
      <c r="B101" s="12">
        <v>204.15209912261912</v>
      </c>
      <c r="C101" s="12">
        <v>117.1389833623164</v>
      </c>
      <c r="D101" s="12">
        <v>163.65838209676824</v>
      </c>
      <c r="E101" s="12">
        <v>166.87656713597443</v>
      </c>
      <c r="F101" s="12">
        <v>167.01527898056946</v>
      </c>
      <c r="G101" s="12">
        <v>158.17812845768029</v>
      </c>
      <c r="H101" s="12">
        <v>161.65485654146144</v>
      </c>
      <c r="I101" s="12">
        <v>315.92381019118307</v>
      </c>
      <c r="J101" s="12">
        <v>169.33612243751338</v>
      </c>
      <c r="K101" s="12">
        <v>423.29434788881781</v>
      </c>
      <c r="L101" s="12">
        <v>27.037419714827127</v>
      </c>
      <c r="M101" s="12">
        <v>126.22079314881464</v>
      </c>
      <c r="N101" s="12">
        <v>249.12585044852693</v>
      </c>
      <c r="O101" s="12">
        <v>183.05165749546305</v>
      </c>
    </row>
    <row r="102" spans="1:15" ht="15" customHeight="1" x14ac:dyDescent="0.2">
      <c r="A102" s="11" t="s">
        <v>287</v>
      </c>
      <c r="B102" s="122">
        <v>217.56326441349239</v>
      </c>
      <c r="C102" s="120">
        <v>119.74732188551819</v>
      </c>
      <c r="D102" s="123">
        <v>172.04218333583086</v>
      </c>
      <c r="E102" s="120">
        <v>160.1089257183682</v>
      </c>
      <c r="F102" s="120">
        <v>170.08511009119886</v>
      </c>
      <c r="G102" s="120">
        <v>73.912730975651769</v>
      </c>
      <c r="H102" s="120">
        <v>170.61648332440348</v>
      </c>
      <c r="I102" s="120">
        <v>216.28891306657724</v>
      </c>
      <c r="J102" s="120">
        <v>166.98258268442743</v>
      </c>
      <c r="K102" s="120">
        <v>514.73564903331601</v>
      </c>
      <c r="L102" s="120">
        <v>23.038008941736059</v>
      </c>
      <c r="M102" s="120">
        <v>127.68905174305516</v>
      </c>
      <c r="N102" s="120">
        <v>293.1215911111305</v>
      </c>
      <c r="O102" s="120">
        <v>192.2197465157931</v>
      </c>
    </row>
    <row r="103" spans="1:15" ht="15" customHeight="1" x14ac:dyDescent="0.2">
      <c r="A103" s="11" t="s">
        <v>288</v>
      </c>
      <c r="B103" s="122">
        <v>163.79588036083155</v>
      </c>
      <c r="C103" s="120">
        <v>144.16095636733823</v>
      </c>
      <c r="D103" s="123">
        <v>154.65828025228157</v>
      </c>
      <c r="E103" s="120">
        <v>106.56836833184509</v>
      </c>
      <c r="F103" s="120">
        <v>169.99746760798644</v>
      </c>
      <c r="G103" s="120">
        <v>75.778418803447636</v>
      </c>
      <c r="H103" s="120">
        <v>163.64196234359125</v>
      </c>
      <c r="I103" s="120">
        <v>65.082891257500904</v>
      </c>
      <c r="J103" s="120">
        <v>130.23958167779884</v>
      </c>
      <c r="K103" s="120">
        <v>512.77423446456521</v>
      </c>
      <c r="L103" s="120">
        <v>20.575960566840905</v>
      </c>
      <c r="M103" s="120">
        <v>109.95577116616637</v>
      </c>
      <c r="N103" s="120">
        <v>286.32361180478836</v>
      </c>
      <c r="O103" s="120">
        <v>165.56711967915791</v>
      </c>
    </row>
    <row r="104" spans="1:15" ht="15" customHeight="1" x14ac:dyDescent="0.2">
      <c r="A104" s="11" t="s">
        <v>289</v>
      </c>
      <c r="B104" s="122">
        <v>162.73277443896239</v>
      </c>
      <c r="C104" s="120">
        <v>117.50790678993636</v>
      </c>
      <c r="D104" s="123">
        <v>141.68625774881167</v>
      </c>
      <c r="E104" s="120">
        <v>139.42396374451442</v>
      </c>
      <c r="F104" s="120">
        <v>139.8167666555039</v>
      </c>
      <c r="G104" s="120">
        <v>113.57070877665571</v>
      </c>
      <c r="H104" s="120">
        <v>176.68154931121458</v>
      </c>
      <c r="I104" s="120">
        <v>99.266929572069003</v>
      </c>
      <c r="J104" s="120">
        <v>140.31594956729404</v>
      </c>
      <c r="K104" s="120">
        <v>375.09992020200264</v>
      </c>
      <c r="L104" s="120">
        <v>42.818373539053958</v>
      </c>
      <c r="M104" s="120">
        <v>109.53348481530395</v>
      </c>
      <c r="N104" s="120">
        <v>224.09924694654427</v>
      </c>
      <c r="O104" s="120">
        <v>156.45134758422401</v>
      </c>
    </row>
    <row r="105" spans="1:15" ht="15" customHeight="1" x14ac:dyDescent="0.2">
      <c r="A105" s="11" t="s">
        <v>290</v>
      </c>
      <c r="B105" s="122">
        <v>124.59235010956971</v>
      </c>
      <c r="C105" s="120">
        <v>176.5865059669735</v>
      </c>
      <c r="D105" s="123">
        <v>148.78912338783732</v>
      </c>
      <c r="E105" s="120">
        <v>142.69671691505749</v>
      </c>
      <c r="F105" s="120">
        <v>142.0409443840943</v>
      </c>
      <c r="G105" s="120">
        <v>90.729095989290727</v>
      </c>
      <c r="H105" s="120">
        <v>191.71830516328558</v>
      </c>
      <c r="I105" s="120">
        <v>34.077330598640174</v>
      </c>
      <c r="J105" s="120">
        <v>145.01718177949073</v>
      </c>
      <c r="K105" s="120">
        <v>480.1112486199815</v>
      </c>
      <c r="L105" s="120">
        <v>42.734092607707289</v>
      </c>
      <c r="M105" s="120">
        <v>150.66517980455814</v>
      </c>
      <c r="N105" s="120">
        <v>287.38624370050917</v>
      </c>
      <c r="O105" s="120">
        <v>173.56035930239824</v>
      </c>
    </row>
    <row r="106" spans="1:15" ht="15" customHeight="1" x14ac:dyDescent="0.2">
      <c r="A106" s="11" t="s">
        <v>291</v>
      </c>
      <c r="B106" s="122">
        <v>127.36848353728899</v>
      </c>
      <c r="C106" s="120">
        <v>148.30009149489138</v>
      </c>
      <c r="D106" s="123">
        <v>137.10952777096648</v>
      </c>
      <c r="E106" s="120">
        <v>105.08666138828227</v>
      </c>
      <c r="F106" s="120">
        <v>138.05892158816295</v>
      </c>
      <c r="G106" s="120">
        <v>32.664897253989508</v>
      </c>
      <c r="H106" s="120">
        <v>159.77957989320208</v>
      </c>
      <c r="I106" s="120">
        <v>44.209711735933148</v>
      </c>
      <c r="J106" s="120">
        <v>122.9215433273874</v>
      </c>
      <c r="K106" s="120">
        <v>223.55234218613694</v>
      </c>
      <c r="L106" s="120">
        <v>48.895187614556036</v>
      </c>
      <c r="M106" s="120">
        <v>113.21453201549181</v>
      </c>
      <c r="N106" s="120">
        <v>153.02557532193958</v>
      </c>
      <c r="O106" s="120">
        <v>130.53126360101945</v>
      </c>
    </row>
    <row r="107" spans="1:15" ht="15" customHeight="1" x14ac:dyDescent="0.2">
      <c r="A107" s="11" t="s">
        <v>292</v>
      </c>
      <c r="B107" s="122">
        <v>118.40031061868061</v>
      </c>
      <c r="C107" s="120">
        <v>184.6557635944551</v>
      </c>
      <c r="D107" s="123">
        <v>149.23393312234225</v>
      </c>
      <c r="E107" s="120">
        <v>136.9773750994232</v>
      </c>
      <c r="F107" s="120">
        <v>146.39346812062817</v>
      </c>
      <c r="G107" s="120">
        <v>143.90462132847756</v>
      </c>
      <c r="H107" s="120">
        <v>158.32995636398138</v>
      </c>
      <c r="I107" s="120">
        <v>94.507315812931907</v>
      </c>
      <c r="J107" s="120">
        <v>151.11191172640696</v>
      </c>
      <c r="K107" s="120">
        <v>386.37748740239954</v>
      </c>
      <c r="L107" s="120">
        <v>72.739745375451093</v>
      </c>
      <c r="M107" s="120">
        <v>121.14126248285032</v>
      </c>
      <c r="N107" s="120">
        <v>239.44695464519691</v>
      </c>
      <c r="O107" s="120">
        <v>167.44789547074302</v>
      </c>
    </row>
    <row r="108" spans="1:15" ht="15" customHeight="1" x14ac:dyDescent="0.2">
      <c r="A108" s="11" t="s">
        <v>341</v>
      </c>
      <c r="B108" s="122">
        <v>149.72198988806466</v>
      </c>
      <c r="C108" s="120">
        <v>179.99864690934109</v>
      </c>
      <c r="D108" s="123">
        <v>163.81198507092481</v>
      </c>
      <c r="E108" s="120">
        <v>109.41855257129924</v>
      </c>
      <c r="F108" s="120">
        <v>169.00808817660521</v>
      </c>
      <c r="G108" s="120">
        <v>126.3982390673648</v>
      </c>
      <c r="H108" s="120">
        <v>176.80604699786193</v>
      </c>
      <c r="I108" s="120">
        <v>315.83159400356249</v>
      </c>
      <c r="J108" s="120">
        <v>154.65550673674522</v>
      </c>
      <c r="K108" s="120">
        <v>445.36715039009192</v>
      </c>
      <c r="L108" s="120">
        <v>74.927314663699661</v>
      </c>
      <c r="M108" s="120">
        <v>134.03767889306056</v>
      </c>
      <c r="N108" s="120">
        <v>272.53865745436053</v>
      </c>
      <c r="O108" s="120">
        <v>179.07358541864158</v>
      </c>
    </row>
    <row r="109" spans="1:15" ht="15" customHeight="1" x14ac:dyDescent="0.2">
      <c r="A109" s="11" t="s">
        <v>342</v>
      </c>
      <c r="B109" s="122">
        <v>124.70841120678602</v>
      </c>
      <c r="C109" s="120">
        <v>194.25357677599237</v>
      </c>
      <c r="D109" s="123">
        <v>157.07298326547541</v>
      </c>
      <c r="E109" s="120">
        <v>107.37136620640126</v>
      </c>
      <c r="F109" s="120">
        <v>148.55758945607352</v>
      </c>
      <c r="G109" s="120">
        <v>237.02135260403506</v>
      </c>
      <c r="H109" s="120">
        <v>172.1941513163552</v>
      </c>
      <c r="I109" s="120">
        <v>107.32438569768262</v>
      </c>
      <c r="J109" s="120">
        <v>140.11777003791687</v>
      </c>
      <c r="K109" s="120">
        <v>293.09403204202937</v>
      </c>
      <c r="L109" s="120">
        <v>91.971567476567017</v>
      </c>
      <c r="M109" s="120">
        <v>122.90766615416797</v>
      </c>
      <c r="N109" s="120">
        <v>198.90384781277166</v>
      </c>
      <c r="O109" s="120">
        <v>153.97036661763707</v>
      </c>
    </row>
    <row r="110" spans="1:15" ht="15" customHeight="1" x14ac:dyDescent="0.2">
      <c r="A110" s="11" t="s">
        <v>343</v>
      </c>
      <c r="B110" s="122">
        <v>121.54553787923928</v>
      </c>
      <c r="C110" s="120">
        <v>185.767678086708</v>
      </c>
      <c r="D110" s="123">
        <v>151.43290772724799</v>
      </c>
      <c r="E110" s="120">
        <v>179.92668653420498</v>
      </c>
      <c r="F110" s="120">
        <v>168.2410336187674</v>
      </c>
      <c r="G110" s="120">
        <v>165.26676367478814</v>
      </c>
      <c r="H110" s="120">
        <v>181.88117726180133</v>
      </c>
      <c r="I110" s="120">
        <v>219.6333219214936</v>
      </c>
      <c r="J110" s="120">
        <v>186.49780205529999</v>
      </c>
      <c r="K110" s="120">
        <v>385.44807545243998</v>
      </c>
      <c r="L110" s="120">
        <v>101.47164232249766</v>
      </c>
      <c r="M110" s="120">
        <v>147.0956889252445</v>
      </c>
      <c r="N110" s="120">
        <v>252.97886399003752</v>
      </c>
      <c r="O110" s="120">
        <v>197.74755589780128</v>
      </c>
    </row>
    <row r="111" spans="1:15" ht="15" customHeight="1" x14ac:dyDescent="0.2">
      <c r="A111" s="11" t="s">
        <v>344</v>
      </c>
      <c r="B111" s="122">
        <v>174.81434462584465</v>
      </c>
      <c r="C111" s="120">
        <v>179.26059722921366</v>
      </c>
      <c r="D111" s="123">
        <v>176.88351883220514</v>
      </c>
      <c r="E111" s="120">
        <v>147.12837615403862</v>
      </c>
      <c r="F111" s="120">
        <v>174.76037138533465</v>
      </c>
      <c r="G111" s="120">
        <v>283.34444246837381</v>
      </c>
      <c r="H111" s="120">
        <v>210.53615725618431</v>
      </c>
      <c r="I111" s="120">
        <v>283.80635380054974</v>
      </c>
      <c r="J111" s="120">
        <v>181.33299399488135</v>
      </c>
      <c r="K111" s="120">
        <v>387.30766970692611</v>
      </c>
      <c r="L111" s="120">
        <v>94.80892969741123</v>
      </c>
      <c r="M111" s="120">
        <v>152.74407741667358</v>
      </c>
      <c r="N111" s="120">
        <v>254.08553192667887</v>
      </c>
      <c r="O111" s="120">
        <v>193.70849436403887</v>
      </c>
    </row>
    <row r="112" spans="1:15" ht="15" customHeight="1" x14ac:dyDescent="0.2">
      <c r="A112" s="11" t="s">
        <v>345</v>
      </c>
      <c r="B112" s="122">
        <v>135.55973044745761</v>
      </c>
      <c r="C112" s="120">
        <v>211.00149401428641</v>
      </c>
      <c r="D112" s="123">
        <v>170.66843100498943</v>
      </c>
      <c r="E112" s="120">
        <v>134.9158908706269</v>
      </c>
      <c r="F112" s="120">
        <v>136.33192133148199</v>
      </c>
      <c r="G112" s="120">
        <v>296.23399032317258</v>
      </c>
      <c r="H112" s="120">
        <v>154.85448663932453</v>
      </c>
      <c r="I112" s="120">
        <v>168.30518853308962</v>
      </c>
      <c r="J112" s="120">
        <v>150.24837966864825</v>
      </c>
      <c r="K112" s="120">
        <v>272.84804500735572</v>
      </c>
      <c r="L112" s="120">
        <v>87.039033970903787</v>
      </c>
      <c r="M112" s="120">
        <v>114.87164401719917</v>
      </c>
      <c r="N112" s="120">
        <v>185.65640205889034</v>
      </c>
      <c r="O112" s="120">
        <v>159.83247180782641</v>
      </c>
    </row>
    <row r="113" spans="1:15" ht="15" customHeight="1" x14ac:dyDescent="0.2">
      <c r="A113" s="11" t="s">
        <v>346</v>
      </c>
      <c r="B113" s="122">
        <v>156.48888316038082</v>
      </c>
      <c r="C113" s="120">
        <v>266.36708842270087</v>
      </c>
      <c r="D113" s="123">
        <v>207.62343813319177</v>
      </c>
      <c r="E113" s="120">
        <v>169.31986236748531</v>
      </c>
      <c r="F113" s="120">
        <v>183.04056011553536</v>
      </c>
      <c r="G113" s="120">
        <v>184.44620165628481</v>
      </c>
      <c r="H113" s="120">
        <v>203.84798571231238</v>
      </c>
      <c r="I113" s="120">
        <v>202.37308609026627</v>
      </c>
      <c r="J113" s="120">
        <v>190.64165639577126</v>
      </c>
      <c r="K113" s="120">
        <v>467.75622524043195</v>
      </c>
      <c r="L113" s="120">
        <v>113.77253800329193</v>
      </c>
      <c r="M113" s="120">
        <v>155.91958851609505</v>
      </c>
      <c r="N113" s="120">
        <v>298.48572321421375</v>
      </c>
      <c r="O113" s="120">
        <v>214.09436177659504</v>
      </c>
    </row>
    <row r="114" spans="1:15" ht="15" customHeight="1" x14ac:dyDescent="0.2">
      <c r="A114" s="10" t="s">
        <v>373</v>
      </c>
      <c r="B114" s="12">
        <v>128.75540971263663</v>
      </c>
      <c r="C114" s="12">
        <v>300.43771405912128</v>
      </c>
      <c r="D114" s="12">
        <v>208.65203897142084</v>
      </c>
      <c r="E114" s="12">
        <v>117.33597293716259</v>
      </c>
      <c r="F114" s="12">
        <v>169.11178121616271</v>
      </c>
      <c r="G114" s="12">
        <v>47.662671752828871</v>
      </c>
      <c r="H114" s="12">
        <v>182.82288406990489</v>
      </c>
      <c r="I114" s="12">
        <v>254.04811199044164</v>
      </c>
      <c r="J114" s="12">
        <v>156.52259131461187</v>
      </c>
      <c r="K114" s="12">
        <v>453.91882992457852</v>
      </c>
      <c r="L114" s="12">
        <v>106.87403948290201</v>
      </c>
      <c r="M114" s="12">
        <v>149.7904661392314</v>
      </c>
      <c r="N114" s="12">
        <v>288.20782234388435</v>
      </c>
      <c r="O114" s="12">
        <v>191.68406142865297</v>
      </c>
    </row>
    <row r="115" spans="1:15" ht="15" customHeight="1" x14ac:dyDescent="0.2">
      <c r="A115" s="10" t="s">
        <v>374</v>
      </c>
      <c r="B115" s="12">
        <v>136.36193953031523</v>
      </c>
      <c r="C115" s="12">
        <v>277.23820546380466</v>
      </c>
      <c r="D115" s="12">
        <v>201.92221281237849</v>
      </c>
      <c r="E115" s="12">
        <v>163.02606917305508</v>
      </c>
      <c r="F115" s="12">
        <v>173.32437081331855</v>
      </c>
      <c r="G115" s="12">
        <v>66.780234472106883</v>
      </c>
      <c r="H115" s="12">
        <v>171.50907115962613</v>
      </c>
      <c r="I115" s="12">
        <v>50.300030120679686</v>
      </c>
      <c r="J115" s="12">
        <v>158.15333407009138</v>
      </c>
      <c r="K115" s="12">
        <v>751.65111862153185</v>
      </c>
      <c r="L115" s="12">
        <v>88.643734997189497</v>
      </c>
      <c r="M115" s="12">
        <v>112.6165247396326</v>
      </c>
      <c r="N115" s="12">
        <v>417.76236315906715</v>
      </c>
      <c r="O115" s="12">
        <v>218.04162876020118</v>
      </c>
    </row>
    <row r="116" spans="1:15" ht="15" customHeight="1" x14ac:dyDescent="0.2">
      <c r="A116" s="10" t="s">
        <v>375</v>
      </c>
      <c r="B116" s="12">
        <v>164.71196559874232</v>
      </c>
      <c r="C116" s="12">
        <v>243.51570580587565</v>
      </c>
      <c r="D116" s="12">
        <v>201.38524558238097</v>
      </c>
      <c r="E116" s="12">
        <v>158.77804926422399</v>
      </c>
      <c r="F116" s="12">
        <v>178.72103150601546</v>
      </c>
      <c r="G116" s="12">
        <v>21.03055850704845</v>
      </c>
      <c r="H116" s="12">
        <v>206.83475021328323</v>
      </c>
      <c r="I116" s="12">
        <v>85.863076242772721</v>
      </c>
      <c r="J116" s="12">
        <v>164.26991650923225</v>
      </c>
      <c r="K116" s="12">
        <v>586.93732040539203</v>
      </c>
      <c r="L116" s="12">
        <v>85.602648882996277</v>
      </c>
      <c r="M116" s="12">
        <v>125.81894916041274</v>
      </c>
      <c r="N116" s="12">
        <v>341.06977453591605</v>
      </c>
      <c r="O116" s="12">
        <v>206.03268970064474</v>
      </c>
    </row>
    <row r="117" spans="1:15" ht="15" customHeight="1" x14ac:dyDescent="0.2">
      <c r="A117" s="166" t="s">
        <v>397</v>
      </c>
      <c r="B117" s="191">
        <v>223.74015796512293</v>
      </c>
      <c r="C117" s="191">
        <v>234.37924941250895</v>
      </c>
      <c r="D117" s="191">
        <v>228.69132371431158</v>
      </c>
      <c r="E117" s="191">
        <v>206.21933331827825</v>
      </c>
      <c r="F117" s="191">
        <v>123.33557624681866</v>
      </c>
      <c r="G117" s="191">
        <v>100.70433388233917</v>
      </c>
      <c r="H117" s="191">
        <v>214.36319438342829</v>
      </c>
      <c r="I117" s="191">
        <v>44.16158189343998</v>
      </c>
      <c r="J117" s="191">
        <v>167.01197831028114</v>
      </c>
      <c r="K117" s="191">
        <v>604.46593794909757</v>
      </c>
      <c r="L117" s="191">
        <v>92.597068178299494</v>
      </c>
      <c r="M117" s="191">
        <v>111.25475228416823</v>
      </c>
      <c r="N117" s="191">
        <v>346.70844567899843</v>
      </c>
      <c r="O117" s="191">
        <v>213.70767839188881</v>
      </c>
    </row>
    <row r="118" spans="1:15" ht="15" customHeight="1" x14ac:dyDescent="0.2">
      <c r="A118" s="76" t="s">
        <v>321</v>
      </c>
      <c r="M118" s="19" t="s">
        <v>336</v>
      </c>
    </row>
    <row r="119" spans="1:15" ht="15" customHeight="1" x14ac:dyDescent="0.2">
      <c r="A119" s="76" t="s">
        <v>335</v>
      </c>
    </row>
    <row r="120" spans="1:15" ht="15" customHeight="1" x14ac:dyDescent="0.2"/>
    <row r="121" spans="1:15" ht="15" customHeight="1" x14ac:dyDescent="0.2"/>
    <row r="122" spans="1:15" ht="15" customHeight="1" x14ac:dyDescent="0.2"/>
    <row r="123" spans="1:15" ht="15" customHeight="1" x14ac:dyDescent="0.2"/>
    <row r="124" spans="1:15" ht="15" customHeight="1" x14ac:dyDescent="0.2"/>
    <row r="125" spans="1:15" ht="15" customHeight="1" x14ac:dyDescent="0.2"/>
    <row r="126" spans="1:15" ht="15" customHeight="1" x14ac:dyDescent="0.2"/>
  </sheetData>
  <mergeCells count="6">
    <mergeCell ref="A4:O4"/>
    <mergeCell ref="A6:A8"/>
    <mergeCell ref="O6:O8"/>
    <mergeCell ref="B7:D7"/>
    <mergeCell ref="E7:J7"/>
    <mergeCell ref="K7:N7"/>
  </mergeCells>
  <phoneticPr fontId="19" type="noConversion"/>
  <hyperlinks>
    <hyperlink ref="O2" location="Contents!A1" display="Back to Contents" xr:uid="{47404D22-ADF7-46E9-AD8A-5ACB83434853}"/>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ABF0-0F2E-4326-B449-BE05036D48CC}">
  <dimension ref="A1:L119"/>
  <sheetViews>
    <sheetView zoomScaleNormal="100" workbookViewId="0">
      <selection activeCell="L2" sqref="L2"/>
    </sheetView>
  </sheetViews>
  <sheetFormatPr defaultRowHeight="12.75" x14ac:dyDescent="0.2"/>
  <cols>
    <col min="1" max="1" width="14.5703125" style="76" customWidth="1"/>
    <col min="2" max="12" width="16.28515625" style="19" customWidth="1"/>
    <col min="13" max="13" width="5.5703125" style="19" customWidth="1"/>
    <col min="14" max="16384" width="9.140625" style="19"/>
  </cols>
  <sheetData>
    <row r="1" spans="1:12" s="16" customFormat="1" ht="15" customHeight="1" x14ac:dyDescent="0.25">
      <c r="A1" s="13" t="s">
        <v>29</v>
      </c>
      <c r="K1" s="55" t="s">
        <v>235</v>
      </c>
      <c r="L1" s="15" t="s">
        <v>273</v>
      </c>
    </row>
    <row r="2" spans="1:12" s="16" customFormat="1" ht="15" customHeight="1" x14ac:dyDescent="0.25">
      <c r="A2" s="54" t="s">
        <v>286</v>
      </c>
      <c r="K2" s="55"/>
      <c r="L2" s="17" t="s">
        <v>10</v>
      </c>
    </row>
    <row r="3" spans="1:12" s="16" customFormat="1" ht="15" customHeight="1" x14ac:dyDescent="0.25">
      <c r="A3" s="54"/>
      <c r="K3" s="55"/>
      <c r="L3" s="17"/>
    </row>
    <row r="4" spans="1:12" s="16" customFormat="1" ht="15" customHeight="1" x14ac:dyDescent="0.25">
      <c r="A4" s="267" t="s">
        <v>388</v>
      </c>
      <c r="B4" s="267"/>
      <c r="C4" s="267"/>
      <c r="D4" s="267"/>
      <c r="E4" s="267"/>
      <c r="F4" s="267"/>
      <c r="G4" s="267"/>
      <c r="H4" s="267"/>
      <c r="I4" s="267"/>
      <c r="J4" s="267"/>
      <c r="K4" s="267"/>
      <c r="L4" s="267"/>
    </row>
    <row r="5" spans="1:12" s="16" customFormat="1" ht="15" customHeight="1" x14ac:dyDescent="0.25">
      <c r="A5" s="119" t="s">
        <v>117</v>
      </c>
      <c r="L5" s="116" t="s">
        <v>236</v>
      </c>
    </row>
    <row r="6" spans="1:12" ht="15" customHeight="1" x14ac:dyDescent="0.2">
      <c r="A6" s="268" t="s">
        <v>3</v>
      </c>
      <c r="B6" s="117" t="s">
        <v>31</v>
      </c>
      <c r="C6" s="117"/>
      <c r="D6" s="117"/>
      <c r="E6" s="117"/>
      <c r="F6" s="117"/>
      <c r="G6" s="117"/>
      <c r="H6" s="117"/>
      <c r="I6" s="117"/>
      <c r="J6" s="117"/>
      <c r="K6" s="117"/>
      <c r="L6" s="227" t="s">
        <v>237</v>
      </c>
    </row>
    <row r="7" spans="1:12" ht="15" customHeight="1" x14ac:dyDescent="0.2">
      <c r="A7" s="268"/>
      <c r="B7" s="214" t="s">
        <v>238</v>
      </c>
      <c r="C7" s="214"/>
      <c r="D7" s="214"/>
      <c r="E7" s="214"/>
      <c r="F7" s="214" t="s">
        <v>239</v>
      </c>
      <c r="G7" s="214"/>
      <c r="H7" s="214"/>
      <c r="I7" s="214"/>
      <c r="J7" s="214"/>
      <c r="K7" s="214" t="s">
        <v>105</v>
      </c>
      <c r="L7" s="228"/>
    </row>
    <row r="8" spans="1:12" ht="30" customHeight="1" x14ac:dyDescent="0.2">
      <c r="A8" s="268"/>
      <c r="B8" s="118" t="s">
        <v>240</v>
      </c>
      <c r="C8" s="118" t="s">
        <v>241</v>
      </c>
      <c r="D8" s="118" t="s">
        <v>74</v>
      </c>
      <c r="E8" s="118" t="s">
        <v>2</v>
      </c>
      <c r="F8" s="118" t="s">
        <v>149</v>
      </c>
      <c r="G8" s="118" t="s">
        <v>150</v>
      </c>
      <c r="H8" s="118" t="s">
        <v>242</v>
      </c>
      <c r="I8" s="118" t="s">
        <v>243</v>
      </c>
      <c r="J8" s="118" t="s">
        <v>12</v>
      </c>
      <c r="K8" s="214"/>
      <c r="L8" s="229"/>
    </row>
    <row r="9" spans="1:12" ht="15" customHeight="1" x14ac:dyDescent="0.2">
      <c r="A9" s="35" t="s">
        <v>48</v>
      </c>
      <c r="B9" s="12">
        <v>193.3501141479457</v>
      </c>
      <c r="C9" s="12">
        <v>96.991112081427673</v>
      </c>
      <c r="D9" s="12">
        <v>231.29598729055317</v>
      </c>
      <c r="E9" s="12">
        <v>134.19656001415854</v>
      </c>
      <c r="F9" s="12">
        <v>175.20485623776102</v>
      </c>
      <c r="G9" s="12">
        <v>96.882516745677677</v>
      </c>
      <c r="H9" s="12">
        <v>203.27096698072742</v>
      </c>
      <c r="I9" s="12">
        <v>178.30274387794992</v>
      </c>
      <c r="J9" s="12">
        <v>183.69225236117776</v>
      </c>
      <c r="K9" s="12">
        <v>248.01167193518464</v>
      </c>
      <c r="L9" s="12">
        <v>143.48945938276123</v>
      </c>
    </row>
    <row r="10" spans="1:12" ht="15" customHeight="1" x14ac:dyDescent="0.2">
      <c r="A10" s="34" t="s">
        <v>49</v>
      </c>
      <c r="B10" s="120">
        <v>202.78175787832961</v>
      </c>
      <c r="C10" s="120">
        <v>119.98494276362916</v>
      </c>
      <c r="D10" s="120">
        <v>294.84488220180293</v>
      </c>
      <c r="E10" s="120">
        <v>153.02013838749809</v>
      </c>
      <c r="F10" s="120">
        <v>185.54559853345373</v>
      </c>
      <c r="G10" s="120">
        <v>146.25343667300919</v>
      </c>
      <c r="H10" s="120">
        <v>240.42346382232981</v>
      </c>
      <c r="I10" s="120">
        <v>194.88213881351399</v>
      </c>
      <c r="J10" s="120">
        <v>206.15042368859085</v>
      </c>
      <c r="K10" s="120">
        <v>289.68000727912624</v>
      </c>
      <c r="L10" s="120">
        <v>162.62655468775483</v>
      </c>
    </row>
    <row r="11" spans="1:12" ht="15" customHeight="1" x14ac:dyDescent="0.2">
      <c r="A11" s="35" t="s">
        <v>50</v>
      </c>
      <c r="B11" s="12">
        <v>350.52322375107894</v>
      </c>
      <c r="C11" s="12">
        <v>314.71446853788541</v>
      </c>
      <c r="D11" s="12">
        <v>468.83934834322378</v>
      </c>
      <c r="E11" s="12">
        <v>251.49250176559943</v>
      </c>
      <c r="F11" s="12">
        <v>329.62010127731361</v>
      </c>
      <c r="G11" s="12">
        <v>222.48835396411351</v>
      </c>
      <c r="H11" s="12">
        <v>354.69651741404942</v>
      </c>
      <c r="I11" s="12">
        <v>305.01807603558638</v>
      </c>
      <c r="J11" s="12">
        <v>344.09464815855188</v>
      </c>
      <c r="K11" s="12">
        <v>526.52710556632303</v>
      </c>
      <c r="L11" s="12">
        <v>266.50829970807092</v>
      </c>
    </row>
    <row r="12" spans="1:12" ht="15" customHeight="1" x14ac:dyDescent="0.2">
      <c r="A12" s="34" t="s">
        <v>51</v>
      </c>
      <c r="B12" s="120">
        <v>368.17315571628546</v>
      </c>
      <c r="C12" s="120">
        <v>336.22050861996655</v>
      </c>
      <c r="D12" s="120">
        <v>571.19246970500649</v>
      </c>
      <c r="E12" s="120">
        <v>219.7959401193315</v>
      </c>
      <c r="F12" s="120">
        <v>352.83169257536372</v>
      </c>
      <c r="G12" s="120">
        <v>193.74180384571952</v>
      </c>
      <c r="H12" s="120">
        <v>300.76836308567744</v>
      </c>
      <c r="I12" s="120">
        <v>280.08384761867779</v>
      </c>
      <c r="J12" s="120">
        <v>346.91051577824254</v>
      </c>
      <c r="K12" s="120">
        <v>476.82050222158568</v>
      </c>
      <c r="L12" s="120">
        <v>239.54662953413094</v>
      </c>
    </row>
    <row r="13" spans="1:12" ht="15" customHeight="1" x14ac:dyDescent="0.2">
      <c r="A13" s="35" t="s">
        <v>338</v>
      </c>
      <c r="B13" s="12">
        <v>328.72376077785987</v>
      </c>
      <c r="C13" s="12">
        <v>260.30760904196728</v>
      </c>
      <c r="D13" s="12">
        <v>478.24135774797111</v>
      </c>
      <c r="E13" s="12">
        <v>192.66028863884449</v>
      </c>
      <c r="F13" s="12">
        <v>349.7571967434946</v>
      </c>
      <c r="G13" s="12">
        <v>231.49444391890788</v>
      </c>
      <c r="H13" s="12">
        <v>312.83642419275344</v>
      </c>
      <c r="I13" s="12">
        <v>216.79154482590994</v>
      </c>
      <c r="J13" s="12">
        <v>335.33763196557857</v>
      </c>
      <c r="K13" s="12">
        <v>430.07798151899806</v>
      </c>
      <c r="L13" s="12">
        <v>212.89165299571962</v>
      </c>
    </row>
    <row r="14" spans="1:12" ht="15" customHeight="1" x14ac:dyDescent="0.2">
      <c r="A14" s="34" t="s">
        <v>337</v>
      </c>
      <c r="B14" s="120">
        <v>324.84273853120885</v>
      </c>
      <c r="C14" s="120">
        <v>223.48726008539424</v>
      </c>
      <c r="D14" s="120">
        <v>470.21556943824578</v>
      </c>
      <c r="E14" s="120">
        <v>187.50264651026097</v>
      </c>
      <c r="F14" s="120">
        <v>348.75139730375639</v>
      </c>
      <c r="G14" s="120">
        <v>267.70670889860946</v>
      </c>
      <c r="H14" s="120">
        <v>427.29885802930085</v>
      </c>
      <c r="I14" s="120">
        <v>269.30479521152779</v>
      </c>
      <c r="J14" s="120">
        <v>365.50663492764812</v>
      </c>
      <c r="K14" s="120">
        <v>406.74041836334499</v>
      </c>
      <c r="L14" s="120">
        <v>211.29175700102536</v>
      </c>
    </row>
    <row r="15" spans="1:12" ht="15" customHeight="1" x14ac:dyDescent="0.2">
      <c r="A15" s="8"/>
      <c r="B15" s="114"/>
      <c r="C15" s="114"/>
      <c r="D15" s="114"/>
      <c r="E15" s="114"/>
      <c r="F15" s="114"/>
      <c r="G15" s="114"/>
      <c r="H15" s="114"/>
      <c r="I15" s="114"/>
      <c r="J15" s="114"/>
      <c r="K15" s="114"/>
      <c r="L15" s="120"/>
    </row>
    <row r="16" spans="1:12" ht="15" customHeight="1" x14ac:dyDescent="0.2">
      <c r="A16" s="9" t="s">
        <v>13</v>
      </c>
      <c r="B16" s="115">
        <v>184.32497116845855</v>
      </c>
      <c r="C16" s="115">
        <v>152.70754571808226</v>
      </c>
      <c r="D16" s="115">
        <v>229.99262318399093</v>
      </c>
      <c r="E16" s="115">
        <v>147.46872306166605</v>
      </c>
      <c r="F16" s="115">
        <v>166.63939890447693</v>
      </c>
      <c r="G16" s="115">
        <v>99.013943659411666</v>
      </c>
      <c r="H16" s="115">
        <v>200.14297633750289</v>
      </c>
      <c r="I16" s="115">
        <v>196.09085932274689</v>
      </c>
      <c r="J16" s="115">
        <v>177.00472534198522</v>
      </c>
      <c r="K16" s="115">
        <v>218.12862322048238</v>
      </c>
      <c r="L16" s="115">
        <v>152.53256540026575</v>
      </c>
    </row>
    <row r="17" spans="1:12" ht="15" customHeight="1" x14ac:dyDescent="0.2">
      <c r="A17" s="9" t="s">
        <v>14</v>
      </c>
      <c r="B17" s="115">
        <v>195.96842258427426</v>
      </c>
      <c r="C17" s="115">
        <v>62.937878606449772</v>
      </c>
      <c r="D17" s="115">
        <v>220.56918685750421</v>
      </c>
      <c r="E17" s="115">
        <v>128.40602480973175</v>
      </c>
      <c r="F17" s="115">
        <v>179.46941880107605</v>
      </c>
      <c r="G17" s="115">
        <v>98.263372692558107</v>
      </c>
      <c r="H17" s="115">
        <v>205.04130873967216</v>
      </c>
      <c r="I17" s="115">
        <v>201.76771938177649</v>
      </c>
      <c r="J17" s="115">
        <v>185.10087745510893</v>
      </c>
      <c r="K17" s="115">
        <v>256.49130386314317</v>
      </c>
      <c r="L17" s="115">
        <v>141.91374027220795</v>
      </c>
    </row>
    <row r="18" spans="1:12" ht="15" customHeight="1" x14ac:dyDescent="0.2">
      <c r="A18" s="9" t="s">
        <v>15</v>
      </c>
      <c r="B18" s="115">
        <v>196.25386213237294</v>
      </c>
      <c r="C18" s="115">
        <v>69.256049086411792</v>
      </c>
      <c r="D18" s="115">
        <v>220.20916869383177</v>
      </c>
      <c r="E18" s="115">
        <v>133.89665105487836</v>
      </c>
      <c r="F18" s="115">
        <v>175.28006328416922</v>
      </c>
      <c r="G18" s="115">
        <v>84.872826734142023</v>
      </c>
      <c r="H18" s="115">
        <v>203.48478171001068</v>
      </c>
      <c r="I18" s="115">
        <v>197.9164784986325</v>
      </c>
      <c r="J18" s="115">
        <v>187.03987005626871</v>
      </c>
      <c r="K18" s="115">
        <v>251.02851272047042</v>
      </c>
      <c r="L18" s="115">
        <v>143.57152428508795</v>
      </c>
    </row>
    <row r="19" spans="1:12" ht="15" customHeight="1" x14ac:dyDescent="0.2">
      <c r="A19" s="9" t="s">
        <v>16</v>
      </c>
      <c r="B19" s="115">
        <v>198.81780087075484</v>
      </c>
      <c r="C19" s="115">
        <v>86.109399346985199</v>
      </c>
      <c r="D19" s="115">
        <v>254.00223453135351</v>
      </c>
      <c r="E19" s="115">
        <v>126.10493132921408</v>
      </c>
      <c r="F19" s="115">
        <v>178.65775837615777</v>
      </c>
      <c r="G19" s="115">
        <v>103.71854937664922</v>
      </c>
      <c r="H19" s="115">
        <v>203.96434022000201</v>
      </c>
      <c r="I19" s="115">
        <v>120.95794629053758</v>
      </c>
      <c r="J19" s="115">
        <v>184.36917121620374</v>
      </c>
      <c r="K19" s="115">
        <v>259.93376595002695</v>
      </c>
      <c r="L19" s="115">
        <v>136.34778590961221</v>
      </c>
    </row>
    <row r="20" spans="1:12" ht="15" customHeight="1" x14ac:dyDescent="0.2">
      <c r="A20" s="8" t="s">
        <v>17</v>
      </c>
      <c r="B20" s="114">
        <v>191.87750217605583</v>
      </c>
      <c r="C20" s="114">
        <v>149.32478301043886</v>
      </c>
      <c r="D20" s="114">
        <v>279.44198455588031</v>
      </c>
      <c r="E20" s="114">
        <v>153.37779682654096</v>
      </c>
      <c r="F20" s="114">
        <v>188.31407751415361</v>
      </c>
      <c r="G20" s="114">
        <v>130.44283952923789</v>
      </c>
      <c r="H20" s="114">
        <v>237.06578815079382</v>
      </c>
      <c r="I20" s="114">
        <v>185.5437134553477</v>
      </c>
      <c r="J20" s="114">
        <v>202.36988882787398</v>
      </c>
      <c r="K20" s="114">
        <v>266.62875658889982</v>
      </c>
      <c r="L20" s="114">
        <v>162.51347218648769</v>
      </c>
    </row>
    <row r="21" spans="1:12" ht="15" customHeight="1" x14ac:dyDescent="0.2">
      <c r="A21" s="8" t="s">
        <v>18</v>
      </c>
      <c r="B21" s="114">
        <v>182.6902000335148</v>
      </c>
      <c r="C21" s="114">
        <v>100.54872740504379</v>
      </c>
      <c r="D21" s="114">
        <v>308.47871979385673</v>
      </c>
      <c r="E21" s="114">
        <v>135.44542739336805</v>
      </c>
      <c r="F21" s="114">
        <v>187.26423532351154</v>
      </c>
      <c r="G21" s="114">
        <v>148.17443429972613</v>
      </c>
      <c r="H21" s="114">
        <v>239.63375696920917</v>
      </c>
      <c r="I21" s="114">
        <v>199.75786221482664</v>
      </c>
      <c r="J21" s="114">
        <v>201.32696697430532</v>
      </c>
      <c r="K21" s="114">
        <v>272.93380864852293</v>
      </c>
      <c r="L21" s="114">
        <v>146.39349045138846</v>
      </c>
    </row>
    <row r="22" spans="1:12" ht="15" customHeight="1" x14ac:dyDescent="0.2">
      <c r="A22" s="8" t="s">
        <v>19</v>
      </c>
      <c r="B22" s="114">
        <v>206.37733367353979</v>
      </c>
      <c r="C22" s="114">
        <v>98.800943468118817</v>
      </c>
      <c r="D22" s="114">
        <v>295.30634761885932</v>
      </c>
      <c r="E22" s="114">
        <v>152.61533883442578</v>
      </c>
      <c r="F22" s="114">
        <v>183.15911505776273</v>
      </c>
      <c r="G22" s="114">
        <v>150.36810930297713</v>
      </c>
      <c r="H22" s="114">
        <v>237.04808993950149</v>
      </c>
      <c r="I22" s="114">
        <v>197.35354829181045</v>
      </c>
      <c r="J22" s="114">
        <v>207.64226511630551</v>
      </c>
      <c r="K22" s="114">
        <v>300.01164292657256</v>
      </c>
      <c r="L22" s="114">
        <v>162.78355806409058</v>
      </c>
    </row>
    <row r="23" spans="1:12" ht="15" customHeight="1" x14ac:dyDescent="0.2">
      <c r="A23" s="8" t="s">
        <v>20</v>
      </c>
      <c r="B23" s="114">
        <v>228.56027481767063</v>
      </c>
      <c r="C23" s="114">
        <v>157.31028616119804</v>
      </c>
      <c r="D23" s="114">
        <v>297.57863800423803</v>
      </c>
      <c r="E23" s="114">
        <v>169.44441660915939</v>
      </c>
      <c r="F23" s="114">
        <v>183.77263923678657</v>
      </c>
      <c r="G23" s="114">
        <v>162.89009959079402</v>
      </c>
      <c r="H23" s="114">
        <v>247.6744928971352</v>
      </c>
      <c r="I23" s="114">
        <v>196.26314513463916</v>
      </c>
      <c r="J23" s="114">
        <v>212.09734599139148</v>
      </c>
      <c r="K23" s="114">
        <v>335.67623947529796</v>
      </c>
      <c r="L23" s="114">
        <v>177.40211256450405</v>
      </c>
    </row>
    <row r="24" spans="1:12" ht="15" customHeight="1" x14ac:dyDescent="0.2">
      <c r="A24" s="9" t="s">
        <v>21</v>
      </c>
      <c r="B24" s="115">
        <v>222.13260778240368</v>
      </c>
      <c r="C24" s="115">
        <v>258.38561698862799</v>
      </c>
      <c r="D24" s="115">
        <v>311.44675862756679</v>
      </c>
      <c r="E24" s="115">
        <v>177.3775675991341</v>
      </c>
      <c r="F24" s="115">
        <v>198.98258949176719</v>
      </c>
      <c r="G24" s="115">
        <v>158.64301550033744</v>
      </c>
      <c r="H24" s="115">
        <v>257.52977310812736</v>
      </c>
      <c r="I24" s="115">
        <v>173.41563626591577</v>
      </c>
      <c r="J24" s="115">
        <v>218.48921192517778</v>
      </c>
      <c r="K24" s="115">
        <v>341.41491387792809</v>
      </c>
      <c r="L24" s="115">
        <v>184.33448334824135</v>
      </c>
    </row>
    <row r="25" spans="1:12" ht="15" customHeight="1" x14ac:dyDescent="0.2">
      <c r="A25" s="9" t="s">
        <v>22</v>
      </c>
      <c r="B25" s="115">
        <v>374.25103062715147</v>
      </c>
      <c r="C25" s="115">
        <v>373.77030319793153</v>
      </c>
      <c r="D25" s="115">
        <v>522.82825326003376</v>
      </c>
      <c r="E25" s="115">
        <v>255.18140255014376</v>
      </c>
      <c r="F25" s="115">
        <v>329.02632325164802</v>
      </c>
      <c r="G25" s="115">
        <v>254.99613631260613</v>
      </c>
      <c r="H25" s="115">
        <v>401.57684541047558</v>
      </c>
      <c r="I25" s="115">
        <v>349.27653829393415</v>
      </c>
      <c r="J25" s="115">
        <v>358.83961465086992</v>
      </c>
      <c r="K25" s="115">
        <v>369.26812516772856</v>
      </c>
      <c r="L25" s="115">
        <v>270.52880608791907</v>
      </c>
    </row>
    <row r="26" spans="1:12" ht="15" customHeight="1" x14ac:dyDescent="0.2">
      <c r="A26" s="9" t="s">
        <v>23</v>
      </c>
      <c r="B26" s="115">
        <v>403.48898327246951</v>
      </c>
      <c r="C26" s="115">
        <v>310.55350764009006</v>
      </c>
      <c r="D26" s="115">
        <v>534.37638750825442</v>
      </c>
      <c r="E26" s="115">
        <v>307.96557946908138</v>
      </c>
      <c r="F26" s="115">
        <v>388.45059246722349</v>
      </c>
      <c r="G26" s="115">
        <v>314.69009588305505</v>
      </c>
      <c r="H26" s="115">
        <v>380.19730059562818</v>
      </c>
      <c r="I26" s="115">
        <v>358.29871289297597</v>
      </c>
      <c r="J26" s="115">
        <v>401.5956035927606</v>
      </c>
      <c r="K26" s="115">
        <v>467.01783093900974</v>
      </c>
      <c r="L26" s="115">
        <v>324.12933781615442</v>
      </c>
    </row>
    <row r="27" spans="1:12" ht="15" customHeight="1" x14ac:dyDescent="0.2">
      <c r="A27" s="9" t="s">
        <v>24</v>
      </c>
      <c r="B27" s="115">
        <v>415.09893829087838</v>
      </c>
      <c r="C27" s="115">
        <v>314.41215207137537</v>
      </c>
      <c r="D27" s="115">
        <v>517.45400832690564</v>
      </c>
      <c r="E27" s="115">
        <v>265.2134075528038</v>
      </c>
      <c r="F27" s="115">
        <v>405.30121267071274</v>
      </c>
      <c r="G27" s="115">
        <v>216.18006575659962</v>
      </c>
      <c r="H27" s="115">
        <v>376.73310260524107</v>
      </c>
      <c r="I27" s="115">
        <v>315.15663493049379</v>
      </c>
      <c r="J27" s="115">
        <v>397.4156650036619</v>
      </c>
      <c r="K27" s="115">
        <v>718.6053835520089</v>
      </c>
      <c r="L27" s="115">
        <v>286.30537507454653</v>
      </c>
    </row>
    <row r="28" spans="1:12" ht="15" customHeight="1" x14ac:dyDescent="0.2">
      <c r="A28" s="8" t="s">
        <v>25</v>
      </c>
      <c r="B28" s="114">
        <v>391.75211025460573</v>
      </c>
      <c r="C28" s="114">
        <v>407.37007337326821</v>
      </c>
      <c r="D28" s="114">
        <v>591.51271507891954</v>
      </c>
      <c r="E28" s="114">
        <v>248.74341150862654</v>
      </c>
      <c r="F28" s="114">
        <v>402.25213801542156</v>
      </c>
      <c r="G28" s="114">
        <v>185.90580680419725</v>
      </c>
      <c r="H28" s="114">
        <v>326.2195113289049</v>
      </c>
      <c r="I28" s="114">
        <v>258.17747944776676</v>
      </c>
      <c r="J28" s="114">
        <v>383.34059542958937</v>
      </c>
      <c r="K28" s="114">
        <v>416.43328944434785</v>
      </c>
      <c r="L28" s="114">
        <v>268.65054649909052</v>
      </c>
    </row>
    <row r="29" spans="1:12" ht="15" customHeight="1" x14ac:dyDescent="0.2">
      <c r="A29" s="8" t="s">
        <v>26</v>
      </c>
      <c r="B29" s="114">
        <v>359.53294386819141</v>
      </c>
      <c r="C29" s="114">
        <v>344.68215123748485</v>
      </c>
      <c r="D29" s="114">
        <v>533.80013840931804</v>
      </c>
      <c r="E29" s="114">
        <v>192.30812519074399</v>
      </c>
      <c r="F29" s="114">
        <v>342.37929428083322</v>
      </c>
      <c r="G29" s="114">
        <v>177.71518969019701</v>
      </c>
      <c r="H29" s="114">
        <v>298.97782063078915</v>
      </c>
      <c r="I29" s="114">
        <v>301.0230878409929</v>
      </c>
      <c r="J29" s="114">
        <v>336.03243327226215</v>
      </c>
      <c r="K29" s="114">
        <v>379.86930906475897</v>
      </c>
      <c r="L29" s="114">
        <v>212.49722763709244</v>
      </c>
    </row>
    <row r="30" spans="1:12" ht="15" customHeight="1" x14ac:dyDescent="0.2">
      <c r="A30" s="8" t="s">
        <v>27</v>
      </c>
      <c r="B30" s="114">
        <v>377.01286763809929</v>
      </c>
      <c r="C30" s="114">
        <v>310.87651402113653</v>
      </c>
      <c r="D30" s="114">
        <v>590.10706804941174</v>
      </c>
      <c r="E30" s="114">
        <v>210.29754996662936</v>
      </c>
      <c r="F30" s="114">
        <v>331.98463382267062</v>
      </c>
      <c r="G30" s="114">
        <v>210.7306260394929</v>
      </c>
      <c r="H30" s="114">
        <v>287.66647313912574</v>
      </c>
      <c r="I30" s="114">
        <v>298.0387365775494</v>
      </c>
      <c r="J30" s="114">
        <v>340.1058481794808</v>
      </c>
      <c r="K30" s="114">
        <v>386.79025810000894</v>
      </c>
      <c r="L30" s="114">
        <v>231.22336447138795</v>
      </c>
    </row>
    <row r="31" spans="1:12" ht="15" customHeight="1" x14ac:dyDescent="0.2">
      <c r="A31" s="8" t="s">
        <v>28</v>
      </c>
      <c r="B31" s="114">
        <v>343.99895011744184</v>
      </c>
      <c r="C31" s="114">
        <v>304.824311382323</v>
      </c>
      <c r="D31" s="114">
        <v>564.58900343317032</v>
      </c>
      <c r="E31" s="114">
        <v>231.28818753594587</v>
      </c>
      <c r="F31" s="114">
        <v>341.88868137449276</v>
      </c>
      <c r="G31" s="114">
        <v>219.81156956091476</v>
      </c>
      <c r="H31" s="114">
        <v>294.99910152714489</v>
      </c>
      <c r="I31" s="114">
        <v>247.43764553671448</v>
      </c>
      <c r="J31" s="114">
        <v>331.51917264548121</v>
      </c>
      <c r="K31" s="114">
        <v>578.33830084507872</v>
      </c>
      <c r="L31" s="114">
        <v>248.79306092780274</v>
      </c>
    </row>
    <row r="32" spans="1:12" ht="15" customHeight="1" x14ac:dyDescent="0.2">
      <c r="A32" s="9" t="s">
        <v>369</v>
      </c>
      <c r="B32" s="115">
        <v>324.39072400632131</v>
      </c>
      <c r="C32" s="115">
        <v>262.45435012611915</v>
      </c>
      <c r="D32" s="115">
        <v>500.79110050030584</v>
      </c>
      <c r="E32" s="115">
        <v>202.67091913815995</v>
      </c>
      <c r="F32" s="115">
        <v>352.44282981783726</v>
      </c>
      <c r="G32" s="115">
        <v>224.05759913079834</v>
      </c>
      <c r="H32" s="115">
        <v>292.68286061983599</v>
      </c>
      <c r="I32" s="115">
        <v>225.2469244184781</v>
      </c>
      <c r="J32" s="115">
        <v>327.16698230903296</v>
      </c>
      <c r="K32" s="115">
        <v>440.11716095905439</v>
      </c>
      <c r="L32" s="115">
        <v>220.07136969473856</v>
      </c>
    </row>
    <row r="33" spans="1:12" ht="15" customHeight="1" x14ac:dyDescent="0.2">
      <c r="A33" s="9" t="s">
        <v>370</v>
      </c>
      <c r="B33" s="115">
        <v>323.30902558170459</v>
      </c>
      <c r="C33" s="115">
        <v>294.55055955337411</v>
      </c>
      <c r="D33" s="115">
        <v>490.9828632925599</v>
      </c>
      <c r="E33" s="115">
        <v>185.80491502970537</v>
      </c>
      <c r="F33" s="115">
        <v>350.73617110895515</v>
      </c>
      <c r="G33" s="115">
        <v>219.19782196417881</v>
      </c>
      <c r="H33" s="115">
        <v>304.14719233845625</v>
      </c>
      <c r="I33" s="115">
        <v>214.58505043189135</v>
      </c>
      <c r="J33" s="115">
        <v>331.57557930310679</v>
      </c>
      <c r="K33" s="115">
        <v>461.7501467430148</v>
      </c>
      <c r="L33" s="115">
        <v>206.10162977580458</v>
      </c>
    </row>
    <row r="34" spans="1:12" ht="15" customHeight="1" x14ac:dyDescent="0.2">
      <c r="A34" s="9" t="s">
        <v>371</v>
      </c>
      <c r="B34" s="115">
        <v>343.44882896913543</v>
      </c>
      <c r="C34" s="115">
        <v>273.09447966963324</v>
      </c>
      <c r="D34" s="115">
        <v>483.69403825331352</v>
      </c>
      <c r="E34" s="115">
        <v>191.05881409977928</v>
      </c>
      <c r="F34" s="115">
        <v>352.80921080706895</v>
      </c>
      <c r="G34" s="115">
        <v>220.86440124369972</v>
      </c>
      <c r="H34" s="115">
        <v>320.25899252818601</v>
      </c>
      <c r="I34" s="115">
        <v>222.7229148790089</v>
      </c>
      <c r="J34" s="115">
        <v>343.38119762146266</v>
      </c>
      <c r="K34" s="115">
        <v>517.49812665422519</v>
      </c>
      <c r="L34" s="115">
        <v>212.8053705277087</v>
      </c>
    </row>
    <row r="35" spans="1:12" ht="15" customHeight="1" x14ac:dyDescent="0.2">
      <c r="A35" s="9" t="s">
        <v>372</v>
      </c>
      <c r="B35" s="115">
        <v>322.89702603057003</v>
      </c>
      <c r="C35" s="115">
        <v>224.26641474174502</v>
      </c>
      <c r="D35" s="115">
        <v>438.1050669535984</v>
      </c>
      <c r="E35" s="115">
        <v>190.89635361551748</v>
      </c>
      <c r="F35" s="115">
        <v>343.22421973624847</v>
      </c>
      <c r="G35" s="115">
        <v>263.05397702568558</v>
      </c>
      <c r="H35" s="115">
        <v>334.49874471790719</v>
      </c>
      <c r="I35" s="115">
        <v>204.96247876547721</v>
      </c>
      <c r="J35" s="115">
        <v>338.22915675195321</v>
      </c>
      <c r="K35" s="115">
        <v>311.75386475431441</v>
      </c>
      <c r="L35" s="115">
        <v>212.31339731027452</v>
      </c>
    </row>
    <row r="36" spans="1:12" ht="15" customHeight="1" x14ac:dyDescent="0.2">
      <c r="A36" s="8" t="s">
        <v>246</v>
      </c>
      <c r="B36" s="114">
        <v>304.88241353203034</v>
      </c>
      <c r="C36" s="114">
        <v>223.68963022605416</v>
      </c>
      <c r="D36" s="114">
        <v>444.12474018420829</v>
      </c>
      <c r="E36" s="114">
        <v>186.78742776494855</v>
      </c>
      <c r="F36" s="114">
        <v>344.09526597024853</v>
      </c>
      <c r="G36" s="114">
        <v>264.36988188196142</v>
      </c>
      <c r="H36" s="114">
        <v>408.36114658892899</v>
      </c>
      <c r="I36" s="114">
        <v>210.01175086710856</v>
      </c>
      <c r="J36" s="114">
        <v>356.12699469979179</v>
      </c>
      <c r="K36" s="114">
        <v>422.10799267869606</v>
      </c>
      <c r="L36" s="114">
        <v>208.19947053460373</v>
      </c>
    </row>
    <row r="37" spans="1:12" ht="15" customHeight="1" x14ac:dyDescent="0.2">
      <c r="A37" s="8" t="s">
        <v>247</v>
      </c>
      <c r="B37" s="114">
        <v>314.40072243338255</v>
      </c>
      <c r="C37" s="114">
        <v>242.27614659368993</v>
      </c>
      <c r="D37" s="114">
        <v>486.46139443459509</v>
      </c>
      <c r="E37" s="114">
        <v>180.44721549447345</v>
      </c>
      <c r="F37" s="114">
        <v>348.74358897697124</v>
      </c>
      <c r="G37" s="114">
        <v>264.94294885642279</v>
      </c>
      <c r="H37" s="114">
        <v>407.46494550565967</v>
      </c>
      <c r="I37" s="114">
        <v>237.3345107905316</v>
      </c>
      <c r="J37" s="114">
        <v>356.4301172137807</v>
      </c>
      <c r="K37" s="114">
        <v>503.90941607354557</v>
      </c>
      <c r="L37" s="114">
        <v>203.88984306668144</v>
      </c>
    </row>
    <row r="38" spans="1:12" ht="15" customHeight="1" x14ac:dyDescent="0.2">
      <c r="A38" s="8" t="s">
        <v>339</v>
      </c>
      <c r="B38" s="114">
        <v>341.23656458401797</v>
      </c>
      <c r="C38" s="114">
        <v>248.49671139773281</v>
      </c>
      <c r="D38" s="114">
        <v>463.87525840178972</v>
      </c>
      <c r="E38" s="114">
        <v>185.2883900500278</v>
      </c>
      <c r="F38" s="114">
        <v>351.35598743567823</v>
      </c>
      <c r="G38" s="114">
        <v>277.00411974071841</v>
      </c>
      <c r="H38" s="114">
        <v>436.85817473543517</v>
      </c>
      <c r="I38" s="114">
        <v>293.87924079508491</v>
      </c>
      <c r="J38" s="114">
        <v>372.9322870684652</v>
      </c>
      <c r="K38" s="114">
        <v>447.43676005930564</v>
      </c>
      <c r="L38" s="114">
        <v>211.62867702052236</v>
      </c>
    </row>
    <row r="39" spans="1:12" ht="15" customHeight="1" x14ac:dyDescent="0.2">
      <c r="A39" s="8" t="s">
        <v>340</v>
      </c>
      <c r="B39" s="114">
        <v>340.77528284931503</v>
      </c>
      <c r="C39" s="114">
        <v>192.08057322008941</v>
      </c>
      <c r="D39" s="114">
        <v>492.24284926336611</v>
      </c>
      <c r="E39" s="114">
        <v>197.75861661562462</v>
      </c>
      <c r="F39" s="114">
        <v>350.58450771081954</v>
      </c>
      <c r="G39" s="114">
        <v>262.93285201449771</v>
      </c>
      <c r="H39" s="114">
        <v>450.77402778175599</v>
      </c>
      <c r="I39" s="114">
        <v>327.90156205354236</v>
      </c>
      <c r="J39" s="114">
        <v>374.71231074503947</v>
      </c>
      <c r="K39" s="114">
        <v>310.41518210495565</v>
      </c>
      <c r="L39" s="114">
        <v>221.41115559026255</v>
      </c>
    </row>
    <row r="40" spans="1:12" ht="15" customHeight="1" x14ac:dyDescent="0.2">
      <c r="A40" s="8" t="s">
        <v>384</v>
      </c>
      <c r="B40" s="114">
        <v>320.99068043459323</v>
      </c>
      <c r="C40" s="114">
        <v>249.1504759264171</v>
      </c>
      <c r="D40" s="114">
        <v>492.60698514315607</v>
      </c>
      <c r="E40" s="114">
        <v>189.1625132161204</v>
      </c>
      <c r="F40" s="114">
        <v>354.93290554165765</v>
      </c>
      <c r="G40" s="114">
        <v>251.82165164868192</v>
      </c>
      <c r="H40" s="114">
        <v>437.52578953414957</v>
      </c>
      <c r="I40" s="114">
        <v>380.25543200798768</v>
      </c>
      <c r="J40" s="114">
        <v>388.03866682090779</v>
      </c>
      <c r="K40" s="114">
        <v>513.97255416588109</v>
      </c>
      <c r="L40" s="114">
        <v>213.21042397872944</v>
      </c>
    </row>
    <row r="41" spans="1:12" ht="15" customHeight="1" x14ac:dyDescent="0.2">
      <c r="A41" s="8"/>
      <c r="B41" s="120"/>
      <c r="C41" s="120"/>
      <c r="D41" s="120"/>
      <c r="E41" s="120"/>
      <c r="F41" s="120"/>
      <c r="G41" s="120"/>
      <c r="H41" s="120"/>
      <c r="I41" s="120"/>
      <c r="J41" s="120"/>
      <c r="K41" s="120"/>
      <c r="L41" s="120"/>
    </row>
    <row r="42" spans="1:12" ht="15" customHeight="1" x14ac:dyDescent="0.2">
      <c r="A42" s="10">
        <v>43831</v>
      </c>
      <c r="B42" s="12">
        <v>184.35999500369908</v>
      </c>
      <c r="C42" s="12">
        <v>151.51079165290921</v>
      </c>
      <c r="D42" s="12">
        <v>224.83442136874348</v>
      </c>
      <c r="E42" s="12">
        <v>144.47343775741552</v>
      </c>
      <c r="F42" s="12">
        <v>165.46727441443886</v>
      </c>
      <c r="G42" s="12">
        <v>101.11315891787105</v>
      </c>
      <c r="H42" s="12">
        <v>196.51350107352374</v>
      </c>
      <c r="I42" s="12">
        <v>171.74304931929015</v>
      </c>
      <c r="J42" s="12">
        <v>174.58974398182835</v>
      </c>
      <c r="K42" s="12">
        <v>218.7058686776366</v>
      </c>
      <c r="L42" s="12">
        <v>149.49887711153661</v>
      </c>
    </row>
    <row r="43" spans="1:12" ht="15" customHeight="1" x14ac:dyDescent="0.2">
      <c r="A43" s="10">
        <v>43862</v>
      </c>
      <c r="B43" s="12">
        <v>188.76307931426561</v>
      </c>
      <c r="C43" s="12">
        <v>172.65254479132483</v>
      </c>
      <c r="D43" s="12">
        <v>229.76761294980449</v>
      </c>
      <c r="E43" s="12">
        <v>164.09287487974251</v>
      </c>
      <c r="F43" s="12">
        <v>167.38131770074739</v>
      </c>
      <c r="G43" s="12">
        <v>96.373695774102046</v>
      </c>
      <c r="H43" s="12">
        <v>200.23537269725651</v>
      </c>
      <c r="I43" s="12">
        <v>209.95474744684026</v>
      </c>
      <c r="J43" s="12">
        <v>177.34699404361359</v>
      </c>
      <c r="K43" s="12">
        <v>208.5634081385241</v>
      </c>
      <c r="L43" s="12">
        <v>166.74644691159</v>
      </c>
    </row>
    <row r="44" spans="1:12" ht="15" customHeight="1" x14ac:dyDescent="0.2">
      <c r="A44" s="10">
        <v>43891</v>
      </c>
      <c r="B44" s="12">
        <v>178.12342474091147</v>
      </c>
      <c r="C44" s="12">
        <v>131.67391487702344</v>
      </c>
      <c r="D44" s="12">
        <v>237.16659923551725</v>
      </c>
      <c r="E44" s="12">
        <v>132.05567171416283</v>
      </c>
      <c r="F44" s="12">
        <v>167.23782564508372</v>
      </c>
      <c r="G44" s="12">
        <v>101.18580328932161</v>
      </c>
      <c r="H44" s="12">
        <v>204.63626718046092</v>
      </c>
      <c r="I44" s="12">
        <v>217.60387276595571</v>
      </c>
      <c r="J44" s="12">
        <v>180.22215749346023</v>
      </c>
      <c r="K44" s="12">
        <v>235.94500812750275</v>
      </c>
      <c r="L44" s="12">
        <v>139.23268285204401</v>
      </c>
    </row>
    <row r="45" spans="1:12" ht="15" customHeight="1" x14ac:dyDescent="0.2">
      <c r="A45" s="10">
        <v>43922</v>
      </c>
      <c r="B45" s="12">
        <v>189.14928613014666</v>
      </c>
      <c r="C45" s="12">
        <v>77.225923521229717</v>
      </c>
      <c r="D45" s="12">
        <v>214.85798454212338</v>
      </c>
      <c r="E45" s="12">
        <v>99.049706253332886</v>
      </c>
      <c r="F45" s="12">
        <v>171.69159493298443</v>
      </c>
      <c r="G45" s="12">
        <v>119.74546392047276</v>
      </c>
      <c r="H45" s="12">
        <v>234.15739711447819</v>
      </c>
      <c r="I45" s="12">
        <v>175.93567765530835</v>
      </c>
      <c r="J45" s="12">
        <v>181.65814306561415</v>
      </c>
      <c r="K45" s="12">
        <v>264.84731177175496</v>
      </c>
      <c r="L45" s="12">
        <v>123.25601711280305</v>
      </c>
    </row>
    <row r="46" spans="1:12" ht="15" customHeight="1" x14ac:dyDescent="0.2">
      <c r="A46" s="10">
        <v>43952</v>
      </c>
      <c r="B46" s="12">
        <v>189.70494112694823</v>
      </c>
      <c r="C46" s="12">
        <v>93.535797521331645</v>
      </c>
      <c r="D46" s="12">
        <v>220.18215831645932</v>
      </c>
      <c r="E46" s="12">
        <v>141.06157823210614</v>
      </c>
      <c r="F46" s="12">
        <v>183.27210824319806</v>
      </c>
      <c r="G46" s="12">
        <v>93.851089515563558</v>
      </c>
      <c r="H46" s="12">
        <v>201.47364303956076</v>
      </c>
      <c r="I46" s="12">
        <v>193.13350790683975</v>
      </c>
      <c r="J46" s="12">
        <v>185.11647935042114</v>
      </c>
      <c r="K46" s="12">
        <v>263.75772821484463</v>
      </c>
      <c r="L46" s="12">
        <v>152.72605062806693</v>
      </c>
    </row>
    <row r="47" spans="1:12" ht="15" customHeight="1" x14ac:dyDescent="0.2">
      <c r="A47" s="10">
        <v>43983</v>
      </c>
      <c r="B47" s="12">
        <v>200.83634705133738</v>
      </c>
      <c r="C47" s="12">
        <v>45.710035749475026</v>
      </c>
      <c r="D47" s="12">
        <v>223.12403496890124</v>
      </c>
      <c r="E47" s="12">
        <v>131.00711839716476</v>
      </c>
      <c r="F47" s="12">
        <v>181.70908268546091</v>
      </c>
      <c r="G47" s="12">
        <v>91.69521932753679</v>
      </c>
      <c r="H47" s="12">
        <v>197.28374210189557</v>
      </c>
      <c r="I47" s="12">
        <v>218.27169750154059</v>
      </c>
      <c r="J47" s="12">
        <v>187.02099265321962</v>
      </c>
      <c r="K47" s="12">
        <v>242.45015649831569</v>
      </c>
      <c r="L47" s="12">
        <v>142.29753638489109</v>
      </c>
    </row>
    <row r="48" spans="1:12" ht="15" customHeight="1" x14ac:dyDescent="0.2">
      <c r="A48" s="10">
        <v>44013</v>
      </c>
      <c r="B48" s="12">
        <v>188.5686066207725</v>
      </c>
      <c r="C48" s="12">
        <v>52.17069830095712</v>
      </c>
      <c r="D48" s="12">
        <v>209.47860609555642</v>
      </c>
      <c r="E48" s="12">
        <v>136.69461225475479</v>
      </c>
      <c r="F48" s="12">
        <v>174.85658631668986</v>
      </c>
      <c r="G48" s="12">
        <v>75.770106284825445</v>
      </c>
      <c r="H48" s="12">
        <v>196.54164722344532</v>
      </c>
      <c r="I48" s="12">
        <v>214.39539172102872</v>
      </c>
      <c r="J48" s="12">
        <v>182.26548602935344</v>
      </c>
      <c r="K48" s="12">
        <v>277.79440172931311</v>
      </c>
      <c r="L48" s="12">
        <v>145.82493413198821</v>
      </c>
    </row>
    <row r="49" spans="1:12" ht="15" customHeight="1" x14ac:dyDescent="0.2">
      <c r="A49" s="10">
        <v>44044</v>
      </c>
      <c r="B49" s="12">
        <v>205.20121193142288</v>
      </c>
      <c r="C49" s="12">
        <v>109.55208583465483</v>
      </c>
      <c r="D49" s="12">
        <v>225.52994005445402</v>
      </c>
      <c r="E49" s="12">
        <v>134.37491955976884</v>
      </c>
      <c r="F49" s="12">
        <v>174.44578824483042</v>
      </c>
      <c r="G49" s="12">
        <v>87.492644676007274</v>
      </c>
      <c r="H49" s="12">
        <v>201.83003365819366</v>
      </c>
      <c r="I49" s="12">
        <v>199.99508875195113</v>
      </c>
      <c r="J49" s="12">
        <v>187.34912857088329</v>
      </c>
      <c r="K49" s="12">
        <v>240.55166824300912</v>
      </c>
      <c r="L49" s="12">
        <v>143.82917665003282</v>
      </c>
    </row>
    <row r="50" spans="1:12" ht="15" customHeight="1" x14ac:dyDescent="0.2">
      <c r="A50" s="10">
        <v>44075</v>
      </c>
      <c r="B50" s="12">
        <v>196.26854733557954</v>
      </c>
      <c r="C50" s="12">
        <v>71.001510532013995</v>
      </c>
      <c r="D50" s="12">
        <v>227.66672582159563</v>
      </c>
      <c r="E50" s="12">
        <v>130.61871708458875</v>
      </c>
      <c r="F50" s="12">
        <v>176.53539922687565</v>
      </c>
      <c r="G50" s="12">
        <v>99.56837126532767</v>
      </c>
      <c r="H50" s="12">
        <v>213.79813960660906</v>
      </c>
      <c r="I50" s="12">
        <v>174.1228508515423</v>
      </c>
      <c r="J50" s="12">
        <v>192.68198875130383</v>
      </c>
      <c r="K50" s="12">
        <v>222.86420491846695</v>
      </c>
      <c r="L50" s="12">
        <v>140.95878378661811</v>
      </c>
    </row>
    <row r="51" spans="1:12" ht="15" customHeight="1" x14ac:dyDescent="0.2">
      <c r="A51" s="10">
        <v>44105</v>
      </c>
      <c r="B51" s="12">
        <v>186.15558422708415</v>
      </c>
      <c r="C51" s="12">
        <v>105.06408658189331</v>
      </c>
      <c r="D51" s="12">
        <v>244.40026783870712</v>
      </c>
      <c r="E51" s="12">
        <v>125.56607765424907</v>
      </c>
      <c r="F51" s="12">
        <v>180.74545403569005</v>
      </c>
      <c r="G51" s="12">
        <v>88.8602777050247</v>
      </c>
      <c r="H51" s="12">
        <v>202.15654826824979</v>
      </c>
      <c r="I51" s="12">
        <v>137.61682922976661</v>
      </c>
      <c r="J51" s="12">
        <v>187.51768351411138</v>
      </c>
      <c r="K51" s="12">
        <v>254.18699106818386</v>
      </c>
      <c r="L51" s="12">
        <v>137.10839891875997</v>
      </c>
    </row>
    <row r="52" spans="1:12" ht="15" customHeight="1" x14ac:dyDescent="0.2">
      <c r="A52" s="10">
        <v>44136</v>
      </c>
      <c r="B52" s="12">
        <v>198.32328626284493</v>
      </c>
      <c r="C52" s="12">
        <v>84.77898356622083</v>
      </c>
      <c r="D52" s="12">
        <v>268.52090567311279</v>
      </c>
      <c r="E52" s="12">
        <v>131.35553467819935</v>
      </c>
      <c r="F52" s="12">
        <v>176.93384532473215</v>
      </c>
      <c r="G52" s="12">
        <v>96.230864050126655</v>
      </c>
      <c r="H52" s="12">
        <v>199.66412675293788</v>
      </c>
      <c r="I52" s="12">
        <v>110.32320382462721</v>
      </c>
      <c r="J52" s="12">
        <v>178.50184952808814</v>
      </c>
      <c r="K52" s="12">
        <v>280.56691451568668</v>
      </c>
      <c r="L52" s="12">
        <v>140.29513926266583</v>
      </c>
    </row>
    <row r="53" spans="1:12" ht="15" customHeight="1" x14ac:dyDescent="0.2">
      <c r="A53" s="10">
        <v>44166</v>
      </c>
      <c r="B53" s="12">
        <v>210.3709593964652</v>
      </c>
      <c r="C53" s="12">
        <v>76.315939189140451</v>
      </c>
      <c r="D53" s="12">
        <v>252.22815269881892</v>
      </c>
      <c r="E53" s="12">
        <v>122.71487598180985</v>
      </c>
      <c r="F53" s="12">
        <v>178.1030490391318</v>
      </c>
      <c r="G53" s="12">
        <v>120.44564311344936</v>
      </c>
      <c r="H53" s="12">
        <v>211.01427358486404</v>
      </c>
      <c r="I53" s="12">
        <v>115.89462528660634</v>
      </c>
      <c r="J53" s="12">
        <v>186.61137642765371</v>
      </c>
      <c r="K53" s="12">
        <v>253.32501489188272</v>
      </c>
      <c r="L53" s="12">
        <v>132.71006055229972</v>
      </c>
    </row>
    <row r="54" spans="1:12" ht="15" customHeight="1" x14ac:dyDescent="0.2">
      <c r="A54" s="11">
        <v>44197</v>
      </c>
      <c r="B54" s="120">
        <v>197.47723048415679</v>
      </c>
      <c r="C54" s="120">
        <v>137.04399528815966</v>
      </c>
      <c r="D54" s="120">
        <v>273.10472110297309</v>
      </c>
      <c r="E54" s="120">
        <v>148.33272806635938</v>
      </c>
      <c r="F54" s="120">
        <v>186.1010506532636</v>
      </c>
      <c r="G54" s="120">
        <v>121.94605823102644</v>
      </c>
      <c r="H54" s="120">
        <v>217.04005190938855</v>
      </c>
      <c r="I54" s="120">
        <v>143.15877267784052</v>
      </c>
      <c r="J54" s="120">
        <v>199.93072289012105</v>
      </c>
      <c r="K54" s="120">
        <v>262.04660056837758</v>
      </c>
      <c r="L54" s="120">
        <v>157.30245567450481</v>
      </c>
    </row>
    <row r="55" spans="1:12" ht="15" customHeight="1" x14ac:dyDescent="0.2">
      <c r="A55" s="11">
        <v>44228</v>
      </c>
      <c r="B55" s="120">
        <v>189.36073034462277</v>
      </c>
      <c r="C55" s="120">
        <v>150.3417448920095</v>
      </c>
      <c r="D55" s="120">
        <v>274.25774480237885</v>
      </c>
      <c r="E55" s="120">
        <v>167.19633558667698</v>
      </c>
      <c r="F55" s="120">
        <v>189.65538013167145</v>
      </c>
      <c r="G55" s="120">
        <v>128.76096401477099</v>
      </c>
      <c r="H55" s="120">
        <v>223.36615923635236</v>
      </c>
      <c r="I55" s="120">
        <v>193.85345470618577</v>
      </c>
      <c r="J55" s="120">
        <v>201.07552659769615</v>
      </c>
      <c r="K55" s="120">
        <v>266.1843461319238</v>
      </c>
      <c r="L55" s="120">
        <v>173.92012557090612</v>
      </c>
    </row>
    <row r="56" spans="1:12" ht="15" customHeight="1" x14ac:dyDescent="0.2">
      <c r="A56" s="11">
        <v>44256</v>
      </c>
      <c r="B56" s="120">
        <v>189.52705982382184</v>
      </c>
      <c r="C56" s="120">
        <v>165.61962026192148</v>
      </c>
      <c r="D56" s="120">
        <v>289.50653127229862</v>
      </c>
      <c r="E56" s="120">
        <v>146.96725731606901</v>
      </c>
      <c r="F56" s="120">
        <v>188.8859357652789</v>
      </c>
      <c r="G56" s="120">
        <v>137.90968625872532</v>
      </c>
      <c r="H56" s="120">
        <v>262.69540220432276</v>
      </c>
      <c r="I56" s="120">
        <v>213.69418311020408</v>
      </c>
      <c r="J56" s="120">
        <v>205.29729780271202</v>
      </c>
      <c r="K56" s="120">
        <v>270.37584585405898</v>
      </c>
      <c r="L56" s="120">
        <v>157.96579266600256</v>
      </c>
    </row>
    <row r="57" spans="1:12" ht="15" customHeight="1" x14ac:dyDescent="0.2">
      <c r="A57" s="11">
        <v>44287</v>
      </c>
      <c r="B57" s="120">
        <v>198.60101423945966</v>
      </c>
      <c r="C57" s="120">
        <v>166.20279999337075</v>
      </c>
      <c r="D57" s="120">
        <v>301.22827315574074</v>
      </c>
      <c r="E57" s="120">
        <v>117.9126302174287</v>
      </c>
      <c r="F57" s="120">
        <v>193.93561357280024</v>
      </c>
      <c r="G57" s="120">
        <v>143.49877101272168</v>
      </c>
      <c r="H57" s="120">
        <v>273.97763293774381</v>
      </c>
      <c r="I57" s="120">
        <v>221.93787058027735</v>
      </c>
      <c r="J57" s="120">
        <v>213.14786529127954</v>
      </c>
      <c r="K57" s="120">
        <v>292.26087070512341</v>
      </c>
      <c r="L57" s="120">
        <v>130.2129449662618</v>
      </c>
    </row>
    <row r="58" spans="1:12" ht="15" customHeight="1" x14ac:dyDescent="0.2">
      <c r="A58" s="11">
        <v>44317</v>
      </c>
      <c r="B58" s="120">
        <v>161.1765477309637</v>
      </c>
      <c r="C58" s="120">
        <v>156.75934829759609</v>
      </c>
      <c r="D58" s="120">
        <v>305.25176077634228</v>
      </c>
      <c r="E58" s="120">
        <v>141.31573154474054</v>
      </c>
      <c r="F58" s="120">
        <v>185.08181155018738</v>
      </c>
      <c r="G58" s="120">
        <v>152.1635600957818</v>
      </c>
      <c r="H58" s="120">
        <v>232.86426722435323</v>
      </c>
      <c r="I58" s="120">
        <v>187.31230054104552</v>
      </c>
      <c r="J58" s="120">
        <v>195.38736684037204</v>
      </c>
      <c r="K58" s="120">
        <v>263.59926231995496</v>
      </c>
      <c r="L58" s="120">
        <v>151.09586646451913</v>
      </c>
    </row>
    <row r="59" spans="1:12" ht="15" customHeight="1" x14ac:dyDescent="0.2">
      <c r="A59" s="11">
        <v>44348</v>
      </c>
      <c r="B59" s="120">
        <v>192.26170277094582</v>
      </c>
      <c r="C59" s="120">
        <v>61.637187285147853</v>
      </c>
      <c r="D59" s="120">
        <v>316.67396498733279</v>
      </c>
      <c r="E59" s="120">
        <v>148.23564601623153</v>
      </c>
      <c r="F59" s="120">
        <v>185.16149839586134</v>
      </c>
      <c r="G59" s="120">
        <v>150.65985466021658</v>
      </c>
      <c r="H59" s="120">
        <v>225.618666699464</v>
      </c>
      <c r="I59" s="120">
        <v>193.17092384868835</v>
      </c>
      <c r="J59" s="120">
        <v>198.71573194528696</v>
      </c>
      <c r="K59" s="120">
        <v>265.99570163386943</v>
      </c>
      <c r="L59" s="120">
        <v>157.79000013639575</v>
      </c>
    </row>
    <row r="60" spans="1:12" ht="15" customHeight="1" x14ac:dyDescent="0.2">
      <c r="A60" s="11">
        <v>44378</v>
      </c>
      <c r="B60" s="120">
        <v>191.05861808532231</v>
      </c>
      <c r="C60" s="120">
        <v>78.731999385213214</v>
      </c>
      <c r="D60" s="120">
        <v>322.85109718970097</v>
      </c>
      <c r="E60" s="120">
        <v>156.3086296986875</v>
      </c>
      <c r="F60" s="120">
        <v>181.95116043985445</v>
      </c>
      <c r="G60" s="120">
        <v>154.8274391147186</v>
      </c>
      <c r="H60" s="120">
        <v>233.14570358383705</v>
      </c>
      <c r="I60" s="120">
        <v>172.45748660080926</v>
      </c>
      <c r="J60" s="120">
        <v>205.84752768536831</v>
      </c>
      <c r="K60" s="120">
        <v>305.21442867994318</v>
      </c>
      <c r="L60" s="120">
        <v>166.73147922315499</v>
      </c>
    </row>
    <row r="61" spans="1:12" ht="15" customHeight="1" x14ac:dyDescent="0.2">
      <c r="A61" s="11">
        <v>44409</v>
      </c>
      <c r="B61" s="120">
        <v>200.79836460336517</v>
      </c>
      <c r="C61" s="120">
        <v>82.234980380229743</v>
      </c>
      <c r="D61" s="120">
        <v>275.93596145588538</v>
      </c>
      <c r="E61" s="120">
        <v>148.4069077481887</v>
      </c>
      <c r="F61" s="120">
        <v>184.61775606565573</v>
      </c>
      <c r="G61" s="120">
        <v>141.09783709980596</v>
      </c>
      <c r="H61" s="120">
        <v>243.88096574330666</v>
      </c>
      <c r="I61" s="120">
        <v>226.75941643130915</v>
      </c>
      <c r="J61" s="120">
        <v>207.68032455764649</v>
      </c>
      <c r="K61" s="120">
        <v>312.80731229188973</v>
      </c>
      <c r="L61" s="120">
        <v>158.58948081934244</v>
      </c>
    </row>
    <row r="62" spans="1:12" ht="15" customHeight="1" x14ac:dyDescent="0.2">
      <c r="A62" s="11">
        <v>44440</v>
      </c>
      <c r="B62" s="120">
        <v>231.44149055496399</v>
      </c>
      <c r="C62" s="120">
        <v>169.23229511236266</v>
      </c>
      <c r="D62" s="120">
        <v>289.84081786859423</v>
      </c>
      <c r="E62" s="120">
        <v>153.51486287409523</v>
      </c>
      <c r="F62" s="120">
        <v>182.87941699148729</v>
      </c>
      <c r="G62" s="120">
        <v>154.87557281417048</v>
      </c>
      <c r="H62" s="120">
        <v>234.15969598142601</v>
      </c>
      <c r="I62" s="120">
        <v>199.46931561246598</v>
      </c>
      <c r="J62" s="120">
        <v>209.78738025940507</v>
      </c>
      <c r="K62" s="120">
        <v>284.03128628131486</v>
      </c>
      <c r="L62" s="120">
        <v>163.26081057017444</v>
      </c>
    </row>
    <row r="63" spans="1:12" ht="15" customHeight="1" x14ac:dyDescent="0.2">
      <c r="A63" s="11">
        <v>44470</v>
      </c>
      <c r="B63" s="120">
        <v>229.87249059928882</v>
      </c>
      <c r="C63" s="120">
        <v>198.25014587485131</v>
      </c>
      <c r="D63" s="120">
        <v>300.25025635531358</v>
      </c>
      <c r="E63" s="120">
        <v>185.16149239106878</v>
      </c>
      <c r="F63" s="120">
        <v>182.67269789899333</v>
      </c>
      <c r="G63" s="120">
        <v>149.44073528292068</v>
      </c>
      <c r="H63" s="120">
        <v>244.42306178242092</v>
      </c>
      <c r="I63" s="120">
        <v>178.66520715782281</v>
      </c>
      <c r="J63" s="120">
        <v>210.48347753925628</v>
      </c>
      <c r="K63" s="120">
        <v>305.07560456684632</v>
      </c>
      <c r="L63" s="120">
        <v>190.11168794757154</v>
      </c>
    </row>
    <row r="64" spans="1:12" ht="15" customHeight="1" x14ac:dyDescent="0.2">
      <c r="A64" s="11">
        <v>44501</v>
      </c>
      <c r="B64" s="120">
        <v>228.87114482664796</v>
      </c>
      <c r="C64" s="120">
        <v>145.81855103464903</v>
      </c>
      <c r="D64" s="120">
        <v>304.3461590281334</v>
      </c>
      <c r="E64" s="120">
        <v>164.32816849037221</v>
      </c>
      <c r="F64" s="120">
        <v>184.7189157835831</v>
      </c>
      <c r="G64" s="120">
        <v>165.34714426403312</v>
      </c>
      <c r="H64" s="120">
        <v>257.28864176454596</v>
      </c>
      <c r="I64" s="120">
        <v>216.79489222912105</v>
      </c>
      <c r="J64" s="120">
        <v>212.82954044653229</v>
      </c>
      <c r="K64" s="120">
        <v>263.31202622341374</v>
      </c>
      <c r="L64" s="120">
        <v>173.63852389171547</v>
      </c>
    </row>
    <row r="65" spans="1:12" ht="15" customHeight="1" x14ac:dyDescent="0.2">
      <c r="A65" s="11">
        <v>44531</v>
      </c>
      <c r="B65" s="120">
        <v>227.03240429051158</v>
      </c>
      <c r="C65" s="120">
        <v>142.81625670165204</v>
      </c>
      <c r="D65" s="120">
        <v>288.03194224934464</v>
      </c>
      <c r="E65" s="120">
        <v>160.50565582656805</v>
      </c>
      <c r="F65" s="120">
        <v>183.86320303568979</v>
      </c>
      <c r="G65" s="120">
        <v>175.89003116545751</v>
      </c>
      <c r="H65" s="120">
        <v>240.08501647637837</v>
      </c>
      <c r="I65" s="120">
        <v>194.16962009525514</v>
      </c>
      <c r="J65" s="120">
        <v>212.94279490022836</v>
      </c>
      <c r="K65" s="120">
        <v>437.85732734897528</v>
      </c>
      <c r="L65" s="120">
        <v>169.58902474034824</v>
      </c>
    </row>
    <row r="66" spans="1:12" ht="15" customHeight="1" x14ac:dyDescent="0.2">
      <c r="A66" s="10">
        <v>44562</v>
      </c>
      <c r="B66" s="12">
        <v>213.18135130862274</v>
      </c>
      <c r="C66" s="12">
        <v>213.75512941271276</v>
      </c>
      <c r="D66" s="12">
        <v>296.06939877951282</v>
      </c>
      <c r="E66" s="12">
        <v>154.20396358396351</v>
      </c>
      <c r="F66" s="12">
        <v>190.78271676165616</v>
      </c>
      <c r="G66" s="12">
        <v>149.87245327260337</v>
      </c>
      <c r="H66" s="12">
        <v>246.29940086928798</v>
      </c>
      <c r="I66" s="12">
        <v>203.50644708237641</v>
      </c>
      <c r="J66" s="12">
        <v>213.88997431376856</v>
      </c>
      <c r="K66" s="12">
        <v>473.71253490362255</v>
      </c>
      <c r="L66" s="12">
        <v>163.29742066424706</v>
      </c>
    </row>
    <row r="67" spans="1:12" ht="15" customHeight="1" x14ac:dyDescent="0.2">
      <c r="A67" s="10">
        <v>44593</v>
      </c>
      <c r="B67" s="12">
        <v>213.01567217938035</v>
      </c>
      <c r="C67" s="12">
        <v>232.65527652758249</v>
      </c>
      <c r="D67" s="12">
        <v>311.78313741557855</v>
      </c>
      <c r="E67" s="12">
        <v>182.76196207909669</v>
      </c>
      <c r="F67" s="12">
        <v>195.09703884859985</v>
      </c>
      <c r="G67" s="12">
        <v>143.10106453809655</v>
      </c>
      <c r="H67" s="12">
        <v>238.98271495416589</v>
      </c>
      <c r="I67" s="12">
        <v>137.55469219408357</v>
      </c>
      <c r="J67" s="12">
        <v>208.3654525595858</v>
      </c>
      <c r="K67" s="12">
        <v>371.77503132152157</v>
      </c>
      <c r="L67" s="12">
        <v>187.57938801445505</v>
      </c>
    </row>
    <row r="68" spans="1:12" ht="15" customHeight="1" x14ac:dyDescent="0.2">
      <c r="A68" s="10">
        <v>44621</v>
      </c>
      <c r="B68" s="12">
        <v>239.57990331411642</v>
      </c>
      <c r="C68" s="12">
        <v>362.92292881294281</v>
      </c>
      <c r="D68" s="12">
        <v>324.53406644393914</v>
      </c>
      <c r="E68" s="12">
        <v>196.94870575475363</v>
      </c>
      <c r="F68" s="12">
        <v>209.31126108550484</v>
      </c>
      <c r="G68" s="12">
        <v>184.11777136724029</v>
      </c>
      <c r="H68" s="12">
        <v>283.1141572435256</v>
      </c>
      <c r="I68" s="12">
        <v>183.681956713245</v>
      </c>
      <c r="J68" s="12">
        <v>231.51029356977725</v>
      </c>
      <c r="K68" s="12">
        <v>212.68992365217449</v>
      </c>
      <c r="L68" s="12">
        <v>202.92623833653161</v>
      </c>
    </row>
    <row r="69" spans="1:12" ht="15" customHeight="1" x14ac:dyDescent="0.2">
      <c r="A69" s="10">
        <v>44652</v>
      </c>
      <c r="B69" s="12">
        <v>318.95852681021228</v>
      </c>
      <c r="C69" s="12">
        <v>430.54910298370584</v>
      </c>
      <c r="D69" s="12">
        <v>480.65928488742634</v>
      </c>
      <c r="E69" s="12">
        <v>221.42764919043185</v>
      </c>
      <c r="F69" s="12">
        <v>280.74373367602186</v>
      </c>
      <c r="G69" s="12">
        <v>238.30382879198061</v>
      </c>
      <c r="H69" s="12">
        <v>422.44186928080165</v>
      </c>
      <c r="I69" s="12">
        <v>293.6751819483419</v>
      </c>
      <c r="J69" s="12">
        <v>324.34428340703005</v>
      </c>
      <c r="K69" s="12">
        <v>279.76901293319611</v>
      </c>
      <c r="L69" s="12">
        <v>235.38446888610133</v>
      </c>
    </row>
    <row r="70" spans="1:12" ht="15" customHeight="1" x14ac:dyDescent="0.2">
      <c r="A70" s="10">
        <v>44682</v>
      </c>
      <c r="B70" s="12">
        <v>391.47490204044999</v>
      </c>
      <c r="C70" s="12">
        <v>521.41794845245465</v>
      </c>
      <c r="D70" s="12">
        <v>512.68941031458178</v>
      </c>
      <c r="E70" s="12">
        <v>271.52691149958281</v>
      </c>
      <c r="F70" s="12">
        <v>339.72586963947225</v>
      </c>
      <c r="G70" s="12">
        <v>257.24751387386601</v>
      </c>
      <c r="H70" s="12">
        <v>397.94938438993074</v>
      </c>
      <c r="I70" s="12">
        <v>376.67617266023592</v>
      </c>
      <c r="J70" s="12">
        <v>362.26689925561084</v>
      </c>
      <c r="K70" s="12">
        <v>519.83136361413199</v>
      </c>
      <c r="L70" s="12">
        <v>285.04276925790089</v>
      </c>
    </row>
    <row r="71" spans="1:12" ht="15" customHeight="1" x14ac:dyDescent="0.2">
      <c r="A71" s="10">
        <v>44713</v>
      </c>
      <c r="B71" s="12">
        <v>408.4341035017008</v>
      </c>
      <c r="C71" s="12">
        <v>266.5952186672514</v>
      </c>
      <c r="D71" s="12">
        <v>560.91029390541428</v>
      </c>
      <c r="E71" s="12">
        <v>270.33734467532889</v>
      </c>
      <c r="F71" s="12">
        <v>357.66883713307021</v>
      </c>
      <c r="G71" s="12">
        <v>271.63198738686873</v>
      </c>
      <c r="H71" s="12">
        <v>390.41058330247591</v>
      </c>
      <c r="I71" s="12">
        <v>374.34509488960128</v>
      </c>
      <c r="J71" s="12">
        <v>381.52770243556631</v>
      </c>
      <c r="K71" s="12">
        <v>370.24739149237234</v>
      </c>
      <c r="L71" s="12">
        <v>287.90258573513012</v>
      </c>
    </row>
    <row r="72" spans="1:12" ht="15" customHeight="1" x14ac:dyDescent="0.2">
      <c r="A72" s="10">
        <v>44743</v>
      </c>
      <c r="B72" s="12">
        <v>413.01684039092396</v>
      </c>
      <c r="C72" s="12">
        <v>272.50695079730349</v>
      </c>
      <c r="D72" s="12">
        <v>560.14827881224278</v>
      </c>
      <c r="E72" s="12">
        <v>336.86512332583578</v>
      </c>
      <c r="F72" s="12">
        <v>374.3654114792476</v>
      </c>
      <c r="G72" s="12">
        <v>326.27124329170812</v>
      </c>
      <c r="H72" s="12">
        <v>397.44457821746209</v>
      </c>
      <c r="I72" s="12">
        <v>343.30289771364187</v>
      </c>
      <c r="J72" s="12">
        <v>393.72638350187958</v>
      </c>
      <c r="K72" s="12">
        <v>643.62700370882465</v>
      </c>
      <c r="L72" s="12">
        <v>347.26017285830244</v>
      </c>
    </row>
    <row r="73" spans="1:12" ht="15" customHeight="1" x14ac:dyDescent="0.2">
      <c r="A73" s="10">
        <v>44774</v>
      </c>
      <c r="B73" s="12">
        <v>375.01059073961261</v>
      </c>
      <c r="C73" s="12">
        <v>263.77288674669546</v>
      </c>
      <c r="D73" s="12">
        <v>561.00356384496695</v>
      </c>
      <c r="E73" s="12">
        <v>280.5036247299214</v>
      </c>
      <c r="F73" s="12">
        <v>393.62073859644687</v>
      </c>
      <c r="G73" s="12">
        <v>316.87320603087102</v>
      </c>
      <c r="H73" s="12">
        <v>390.52384497608557</v>
      </c>
      <c r="I73" s="12">
        <v>370.64296495075956</v>
      </c>
      <c r="J73" s="12">
        <v>409.41738305797531</v>
      </c>
      <c r="K73" s="12">
        <v>418.25190378427254</v>
      </c>
      <c r="L73" s="12">
        <v>300.80808163780301</v>
      </c>
    </row>
    <row r="74" spans="1:12" ht="15" customHeight="1" x14ac:dyDescent="0.2">
      <c r="A74" s="10">
        <v>44805</v>
      </c>
      <c r="B74" s="12">
        <v>430.50491872439193</v>
      </c>
      <c r="C74" s="12">
        <v>469.92877024774992</v>
      </c>
      <c r="D74" s="12">
        <v>482.2573313923466</v>
      </c>
      <c r="E74" s="12">
        <v>313.35650508646535</v>
      </c>
      <c r="F74" s="12">
        <v>397.82286728955228</v>
      </c>
      <c r="G74" s="12">
        <v>303.30403614533805</v>
      </c>
      <c r="H74" s="12">
        <v>352.15420646334007</v>
      </c>
      <c r="I74" s="12">
        <v>358.39508563031387</v>
      </c>
      <c r="J74" s="12">
        <v>401.08441195606554</v>
      </c>
      <c r="K74" s="12">
        <v>446.66171089623754</v>
      </c>
      <c r="L74" s="12">
        <v>329.43418495849221</v>
      </c>
    </row>
    <row r="75" spans="1:12" ht="15" customHeight="1" x14ac:dyDescent="0.2">
      <c r="A75" s="10">
        <v>44835</v>
      </c>
      <c r="B75" s="12">
        <v>421.17723726626809</v>
      </c>
      <c r="C75" s="12">
        <v>458.37561104378091</v>
      </c>
      <c r="D75" s="12">
        <v>528.49225114949525</v>
      </c>
      <c r="E75" s="12">
        <v>244.50273218014163</v>
      </c>
      <c r="F75" s="12">
        <v>413.44849586587998</v>
      </c>
      <c r="G75" s="12">
        <v>238.70816821143245</v>
      </c>
      <c r="H75" s="12">
        <v>448.09490062250569</v>
      </c>
      <c r="I75" s="12">
        <v>334.92849346203457</v>
      </c>
      <c r="J75" s="12">
        <v>413.18215972550536</v>
      </c>
      <c r="K75" s="12">
        <v>852.8680763703353</v>
      </c>
      <c r="L75" s="12">
        <v>268.79109702843829</v>
      </c>
    </row>
    <row r="76" spans="1:12" ht="15" customHeight="1" x14ac:dyDescent="0.2">
      <c r="A76" s="10">
        <v>44866</v>
      </c>
      <c r="B76" s="12">
        <v>393.8241707938239</v>
      </c>
      <c r="C76" s="12">
        <v>416.84907562432096</v>
      </c>
      <c r="D76" s="12">
        <v>499.57876458454928</v>
      </c>
      <c r="E76" s="12">
        <v>301.01451612509737</v>
      </c>
      <c r="F76" s="12">
        <v>398.70775819697769</v>
      </c>
      <c r="G76" s="12">
        <v>196.41187218883687</v>
      </c>
      <c r="H76" s="12">
        <v>328.80002790969513</v>
      </c>
      <c r="I76" s="12">
        <v>322.86693331025612</v>
      </c>
      <c r="J76" s="12">
        <v>385.95523317649804</v>
      </c>
      <c r="K76" s="12">
        <v>322.27813231281368</v>
      </c>
      <c r="L76" s="12">
        <v>315.53111369532189</v>
      </c>
    </row>
    <row r="77" spans="1:12" ht="15" customHeight="1" x14ac:dyDescent="0.2">
      <c r="A77" s="10">
        <v>44896</v>
      </c>
      <c r="B77" s="12">
        <v>431.13768750488799</v>
      </c>
      <c r="C77" s="12">
        <v>217.69929814163248</v>
      </c>
      <c r="D77" s="12">
        <v>522.5390822760703</v>
      </c>
      <c r="E77" s="12">
        <v>257.63686432610274</v>
      </c>
      <c r="F77" s="12">
        <v>403.82062650067809</v>
      </c>
      <c r="G77" s="12">
        <v>208.64250517197993</v>
      </c>
      <c r="H77" s="12">
        <v>341.22921179709982</v>
      </c>
      <c r="I77" s="12">
        <v>283.4439616574582</v>
      </c>
      <c r="J77" s="12">
        <v>392.23532056619257</v>
      </c>
      <c r="K77" s="12">
        <v>778.82079048031687</v>
      </c>
      <c r="L77" s="12">
        <v>280.07900648443115</v>
      </c>
    </row>
    <row r="78" spans="1:12" ht="15" customHeight="1" x14ac:dyDescent="0.2">
      <c r="A78" s="11">
        <v>44927</v>
      </c>
      <c r="B78" s="120">
        <v>413.26367772116919</v>
      </c>
      <c r="C78" s="120">
        <v>427.01266321367814</v>
      </c>
      <c r="D78" s="120">
        <v>534.47847450106065</v>
      </c>
      <c r="E78" s="120">
        <v>223.00246852572013</v>
      </c>
      <c r="F78" s="120">
        <v>409.79348539303959</v>
      </c>
      <c r="G78" s="120">
        <v>198.20053629046799</v>
      </c>
      <c r="H78" s="120">
        <v>328.86895725897978</v>
      </c>
      <c r="I78" s="120">
        <v>279.97794005038674</v>
      </c>
      <c r="J78" s="120">
        <v>397.52363536069993</v>
      </c>
      <c r="K78" s="120">
        <v>579.8924526426697</v>
      </c>
      <c r="L78" s="120">
        <v>245.05245285808374</v>
      </c>
    </row>
    <row r="79" spans="1:12" ht="15" customHeight="1" x14ac:dyDescent="0.2">
      <c r="A79" s="11">
        <v>44958</v>
      </c>
      <c r="B79" s="120">
        <v>413.09595685603409</v>
      </c>
      <c r="C79" s="120">
        <v>459.10368922104612</v>
      </c>
      <c r="D79" s="120">
        <v>711.46081223116732</v>
      </c>
      <c r="E79" s="120">
        <v>295.28852314363508</v>
      </c>
      <c r="F79" s="120">
        <v>403.3078007067819</v>
      </c>
      <c r="G79" s="120">
        <v>180.43826586752047</v>
      </c>
      <c r="H79" s="120">
        <v>330.58655430632115</v>
      </c>
      <c r="I79" s="120">
        <v>259.62470149191267</v>
      </c>
      <c r="J79" s="120">
        <v>386.32724681373998</v>
      </c>
      <c r="K79" s="120">
        <v>344.28209202770148</v>
      </c>
      <c r="L79" s="120">
        <v>310.89910037503643</v>
      </c>
    </row>
    <row r="80" spans="1:12" ht="15" customHeight="1" x14ac:dyDescent="0.2">
      <c r="A80" s="11">
        <v>44986</v>
      </c>
      <c r="B80" s="120">
        <v>350.74258594252422</v>
      </c>
      <c r="C80" s="120">
        <v>339.59571001551234</v>
      </c>
      <c r="D80" s="120">
        <v>559.9182949068595</v>
      </c>
      <c r="E80" s="120">
        <v>238.41425752338174</v>
      </c>
      <c r="F80" s="120">
        <v>393.96788068075</v>
      </c>
      <c r="G80" s="120">
        <v>181.56249511563226</v>
      </c>
      <c r="H80" s="120">
        <v>320.01562045105771</v>
      </c>
      <c r="I80" s="120">
        <v>238.72930324806072</v>
      </c>
      <c r="J80" s="120">
        <v>367.67535779154565</v>
      </c>
      <c r="K80" s="120">
        <v>318.91517492755429</v>
      </c>
      <c r="L80" s="120">
        <v>257.96152256180397</v>
      </c>
    </row>
    <row r="81" spans="1:12" ht="15" customHeight="1" x14ac:dyDescent="0.2">
      <c r="A81" s="11">
        <v>45017</v>
      </c>
      <c r="B81" s="120">
        <v>369.98998126530387</v>
      </c>
      <c r="C81" s="120">
        <v>361.93026224961329</v>
      </c>
      <c r="D81" s="120">
        <v>528.78668202410245</v>
      </c>
      <c r="E81" s="120">
        <v>166.69111811519207</v>
      </c>
      <c r="F81" s="120">
        <v>369.20007977232308</v>
      </c>
      <c r="G81" s="120">
        <v>187.40180685184816</v>
      </c>
      <c r="H81" s="120">
        <v>320.20973080858568</v>
      </c>
      <c r="I81" s="120">
        <v>274.66382925611083</v>
      </c>
      <c r="J81" s="120">
        <v>352.83481339771879</v>
      </c>
      <c r="K81" s="120">
        <v>478.77789507412763</v>
      </c>
      <c r="L81" s="120">
        <v>188.83665493690111</v>
      </c>
    </row>
    <row r="82" spans="1:12" ht="15" customHeight="1" x14ac:dyDescent="0.2">
      <c r="A82" s="11">
        <v>45047</v>
      </c>
      <c r="B82" s="120">
        <v>367.90966394593147</v>
      </c>
      <c r="C82" s="120">
        <v>357.97321890139375</v>
      </c>
      <c r="D82" s="120">
        <v>552.89352103220108</v>
      </c>
      <c r="E82" s="120">
        <v>197.45935664117317</v>
      </c>
      <c r="F82" s="120">
        <v>347.85309700967952</v>
      </c>
      <c r="G82" s="120">
        <v>168.16943776985192</v>
      </c>
      <c r="H82" s="120">
        <v>295.05473084961773</v>
      </c>
      <c r="I82" s="120">
        <v>347.9545133697282</v>
      </c>
      <c r="J82" s="120">
        <v>339.75930954392578</v>
      </c>
      <c r="K82" s="120">
        <v>306.54845261222926</v>
      </c>
      <c r="L82" s="120">
        <v>218.26378223851458</v>
      </c>
    </row>
    <row r="83" spans="1:12" ht="15" customHeight="1" x14ac:dyDescent="0.2">
      <c r="A83" s="11">
        <v>45078</v>
      </c>
      <c r="B83" s="120">
        <v>343.49998663454556</v>
      </c>
      <c r="C83" s="120">
        <v>316.8872680799206</v>
      </c>
      <c r="D83" s="120">
        <v>518.65706297717429</v>
      </c>
      <c r="E83" s="120">
        <v>216.12720528267783</v>
      </c>
      <c r="F83" s="120">
        <v>316.48941488033239</v>
      </c>
      <c r="G83" s="120">
        <v>180.27173325972279</v>
      </c>
      <c r="H83" s="120">
        <v>285.26835496995341</v>
      </c>
      <c r="I83" s="120">
        <v>279.77896477980624</v>
      </c>
      <c r="J83" s="120">
        <v>318.120091616644</v>
      </c>
      <c r="K83" s="120">
        <v>416.79819399787272</v>
      </c>
      <c r="L83" s="120">
        <v>232.30288191794051</v>
      </c>
    </row>
    <row r="84" spans="1:12" ht="15" customHeight="1" x14ac:dyDescent="0.2">
      <c r="A84" s="11">
        <v>45108</v>
      </c>
      <c r="B84" s="120">
        <v>372.60496076522139</v>
      </c>
      <c r="C84" s="120">
        <v>340.93931790763088</v>
      </c>
      <c r="D84" s="120">
        <v>603.3426780035129</v>
      </c>
      <c r="E84" s="120">
        <v>223.10213276127823</v>
      </c>
      <c r="F84" s="120">
        <v>324.77816164237458</v>
      </c>
      <c r="G84" s="120">
        <v>213.68738686208317</v>
      </c>
      <c r="H84" s="120">
        <v>288.4535766887642</v>
      </c>
      <c r="I84" s="120">
        <v>262.32668282666918</v>
      </c>
      <c r="J84" s="120">
        <v>328.69276434030087</v>
      </c>
      <c r="K84" s="120">
        <v>327.36783201835186</v>
      </c>
      <c r="L84" s="120">
        <v>241.10920765634472</v>
      </c>
    </row>
    <row r="85" spans="1:12" ht="15" customHeight="1" x14ac:dyDescent="0.2">
      <c r="A85" s="11">
        <v>45139</v>
      </c>
      <c r="B85" s="120">
        <v>387.61250342412507</v>
      </c>
      <c r="C85" s="120">
        <v>243.73393607623345</v>
      </c>
      <c r="D85" s="120">
        <v>576.93765032166948</v>
      </c>
      <c r="E85" s="120">
        <v>199.0729204142124</v>
      </c>
      <c r="F85" s="120">
        <v>333.98004618148116</v>
      </c>
      <c r="G85" s="120">
        <v>216.61368114472381</v>
      </c>
      <c r="H85" s="120">
        <v>281.34880710314809</v>
      </c>
      <c r="I85" s="120">
        <v>294.76602046273388</v>
      </c>
      <c r="J85" s="120">
        <v>341.03163935545598</v>
      </c>
      <c r="K85" s="120">
        <v>327.24696956189331</v>
      </c>
      <c r="L85" s="120">
        <v>219.4103045977883</v>
      </c>
    </row>
    <row r="86" spans="1:12" ht="15" customHeight="1" x14ac:dyDescent="0.2">
      <c r="A86" s="11">
        <v>45170</v>
      </c>
      <c r="B86" s="120">
        <v>370.01325006967278</v>
      </c>
      <c r="C86" s="120">
        <v>374.97745055662369</v>
      </c>
      <c r="D86" s="120">
        <v>590.83827256885593</v>
      </c>
      <c r="E86" s="120">
        <v>211.56690351721269</v>
      </c>
      <c r="F86" s="120">
        <v>337.08910960263501</v>
      </c>
      <c r="G86" s="120">
        <v>203.53154120602309</v>
      </c>
      <c r="H86" s="120">
        <v>293.34788748342299</v>
      </c>
      <c r="I86" s="120">
        <v>356.00604070369786</v>
      </c>
      <c r="J86" s="120">
        <v>350.61601704386305</v>
      </c>
      <c r="K86" s="120">
        <v>551.97082303800096</v>
      </c>
      <c r="L86" s="120">
        <v>235.73973766215639</v>
      </c>
    </row>
    <row r="87" spans="1:12" ht="15" customHeight="1" x14ac:dyDescent="0.2">
      <c r="A87" s="11">
        <v>45200</v>
      </c>
      <c r="B87" s="120">
        <v>315.47410862483696</v>
      </c>
      <c r="C87" s="120">
        <v>379.59921817620074</v>
      </c>
      <c r="D87" s="120">
        <v>599.90596412579293</v>
      </c>
      <c r="E87" s="120">
        <v>227.7234240726001</v>
      </c>
      <c r="F87" s="120">
        <v>339.7606508742262</v>
      </c>
      <c r="G87" s="120">
        <v>187.35550928282782</v>
      </c>
      <c r="H87" s="120">
        <v>283.90943284424361</v>
      </c>
      <c r="I87" s="120">
        <v>275.71463820958888</v>
      </c>
      <c r="J87" s="120">
        <v>334.10329179314385</v>
      </c>
      <c r="K87" s="120">
        <v>358.79158540481313</v>
      </c>
      <c r="L87" s="120">
        <v>245.31528785149931</v>
      </c>
    </row>
    <row r="88" spans="1:12" ht="15" customHeight="1" x14ac:dyDescent="0.2">
      <c r="A88" s="11">
        <v>45231</v>
      </c>
      <c r="B88" s="120">
        <v>354.00532518034845</v>
      </c>
      <c r="C88" s="120">
        <v>388.4486898731688</v>
      </c>
      <c r="D88" s="120">
        <v>619.78729846496856</v>
      </c>
      <c r="E88" s="120">
        <v>241.94393449120329</v>
      </c>
      <c r="F88" s="120">
        <v>337.02585590256422</v>
      </c>
      <c r="G88" s="120">
        <v>256.20005104469465</v>
      </c>
      <c r="H88" s="120">
        <v>304.44858755555765</v>
      </c>
      <c r="I88" s="120">
        <v>205.31837149995172</v>
      </c>
      <c r="J88" s="120">
        <v>331.21830883356324</v>
      </c>
      <c r="K88" s="120">
        <v>713.59822847607688</v>
      </c>
      <c r="L88" s="120">
        <v>260.35025454825774</v>
      </c>
    </row>
    <row r="89" spans="1:12" ht="15" customHeight="1" x14ac:dyDescent="0.2">
      <c r="A89" s="11">
        <v>45261</v>
      </c>
      <c r="B89" s="120">
        <v>360.87888267224866</v>
      </c>
      <c r="C89" s="120">
        <v>224.03739846524115</v>
      </c>
      <c r="D89" s="120">
        <v>492.23120884080072</v>
      </c>
      <c r="E89" s="120">
        <v>224.86009526760901</v>
      </c>
      <c r="F89" s="120">
        <v>348.89270639684293</v>
      </c>
      <c r="G89" s="120">
        <v>226.58227367683784</v>
      </c>
      <c r="H89" s="120">
        <v>297.71153862268409</v>
      </c>
      <c r="I89" s="120">
        <v>264.02715954954192</v>
      </c>
      <c r="J89" s="120">
        <v>329.38394666261337</v>
      </c>
      <c r="K89" s="120">
        <v>313.81348808705422</v>
      </c>
      <c r="L89" s="120">
        <v>241.21406356736924</v>
      </c>
    </row>
    <row r="90" spans="1:12" ht="15" customHeight="1" x14ac:dyDescent="0.2">
      <c r="A90" s="10" t="s">
        <v>347</v>
      </c>
      <c r="B90" s="12">
        <v>343.2716090675998</v>
      </c>
      <c r="C90" s="12">
        <v>186.20487068331221</v>
      </c>
      <c r="D90" s="12">
        <v>483.1332705131282</v>
      </c>
      <c r="E90" s="12">
        <v>178.5929611711459</v>
      </c>
      <c r="F90" s="12">
        <v>349.03609540138962</v>
      </c>
      <c r="G90" s="12">
        <v>231.96576338645545</v>
      </c>
      <c r="H90" s="12">
        <v>285.0415919711611</v>
      </c>
      <c r="I90" s="12">
        <v>176.96618766429839</v>
      </c>
      <c r="J90" s="12">
        <v>327.96670199391298</v>
      </c>
      <c r="K90" s="12">
        <v>276.10644383742908</v>
      </c>
      <c r="L90" s="12">
        <v>197.17027788583908</v>
      </c>
    </row>
    <row r="91" spans="1:12" ht="15" customHeight="1" x14ac:dyDescent="0.2">
      <c r="A91" s="10" t="s">
        <v>348</v>
      </c>
      <c r="B91" s="12">
        <v>323.8938661232886</v>
      </c>
      <c r="C91" s="12">
        <v>326.39872616180389</v>
      </c>
      <c r="D91" s="12">
        <v>560.29464581290063</v>
      </c>
      <c r="E91" s="12">
        <v>233.06988699804992</v>
      </c>
      <c r="F91" s="12">
        <v>355.16623107124656</v>
      </c>
      <c r="G91" s="12">
        <v>228.40393827699845</v>
      </c>
      <c r="H91" s="12">
        <v>293.30455432272765</v>
      </c>
      <c r="I91" s="12">
        <v>260.66122138842849</v>
      </c>
      <c r="J91" s="12">
        <v>335.10613906592681</v>
      </c>
      <c r="K91" s="12">
        <v>520.74431846466371</v>
      </c>
      <c r="L91" s="12">
        <v>249.55689570773336</v>
      </c>
    </row>
    <row r="92" spans="1:12" ht="15" customHeight="1" x14ac:dyDescent="0.2">
      <c r="A92" s="10" t="s">
        <v>349</v>
      </c>
      <c r="B92" s="12">
        <v>309.52684627304961</v>
      </c>
      <c r="C92" s="12">
        <v>321.19680928147346</v>
      </c>
      <c r="D92" s="12">
        <v>469.69470341113356</v>
      </c>
      <c r="E92" s="12">
        <v>202.25316547938556</v>
      </c>
      <c r="F92" s="12">
        <v>352.5735599401001</v>
      </c>
      <c r="G92" s="12">
        <v>215.51993559339553</v>
      </c>
      <c r="H92" s="12">
        <v>297.59763461396466</v>
      </c>
      <c r="I92" s="12">
        <v>254.46372198306196</v>
      </c>
      <c r="J92" s="12">
        <v>318.72509825441676</v>
      </c>
      <c r="K92" s="12">
        <v>560.72672530892805</v>
      </c>
      <c r="L92" s="12">
        <v>218.26144333312848</v>
      </c>
    </row>
    <row r="93" spans="1:12" ht="15" customHeight="1" x14ac:dyDescent="0.2">
      <c r="A93" s="10" t="s">
        <v>350</v>
      </c>
      <c r="B93" s="12">
        <v>305.99501421704781</v>
      </c>
      <c r="C93" s="12">
        <v>268.91710438415566</v>
      </c>
      <c r="D93" s="12">
        <v>456.80868114169732</v>
      </c>
      <c r="E93" s="12">
        <v>161.9157216494483</v>
      </c>
      <c r="F93" s="12">
        <v>347.37309028516177</v>
      </c>
      <c r="G93" s="12">
        <v>229.83641670447105</v>
      </c>
      <c r="H93" s="12">
        <v>304.81409236765552</v>
      </c>
      <c r="I93" s="12">
        <v>233.95473710589243</v>
      </c>
      <c r="J93" s="12">
        <v>331.97248972156194</v>
      </c>
      <c r="K93" s="12">
        <v>351.68119573852823</v>
      </c>
      <c r="L93" s="12">
        <v>182.89038774703266</v>
      </c>
    </row>
    <row r="94" spans="1:12" ht="15" customHeight="1" x14ac:dyDescent="0.2">
      <c r="A94" s="10" t="s">
        <v>351</v>
      </c>
      <c r="B94" s="12">
        <v>315.82735310223097</v>
      </c>
      <c r="C94" s="12">
        <v>312.94431651590963</v>
      </c>
      <c r="D94" s="12">
        <v>502.75145245212633</v>
      </c>
      <c r="E94" s="12">
        <v>184.15097453453083</v>
      </c>
      <c r="F94" s="12">
        <v>350.07457576753126</v>
      </c>
      <c r="G94" s="12">
        <v>219.9041895276643</v>
      </c>
      <c r="H94" s="12">
        <v>293.44492646517364</v>
      </c>
      <c r="I94" s="12">
        <v>215.58605195144028</v>
      </c>
      <c r="J94" s="12">
        <v>321.01404104648941</v>
      </c>
      <c r="K94" s="12">
        <v>455.57661972433851</v>
      </c>
      <c r="L94" s="12">
        <v>202.71375490420112</v>
      </c>
    </row>
    <row r="95" spans="1:12" ht="15" customHeight="1" x14ac:dyDescent="0.2">
      <c r="A95" s="10" t="s">
        <v>352</v>
      </c>
      <c r="B95" s="12">
        <v>344.14458709105645</v>
      </c>
      <c r="C95" s="12">
        <v>308.3563469714266</v>
      </c>
      <c r="D95" s="12">
        <v>509.70825736350156</v>
      </c>
      <c r="E95" s="12">
        <v>213.11515165334555</v>
      </c>
      <c r="F95" s="12">
        <v>354.00833925620003</v>
      </c>
      <c r="G95" s="12">
        <v>210.37808845473054</v>
      </c>
      <c r="H95" s="12">
        <v>314.70552216229407</v>
      </c>
      <c r="I95" s="12">
        <v>198.25766245233882</v>
      </c>
      <c r="J95" s="12">
        <v>340.88827558982194</v>
      </c>
      <c r="K95" s="12">
        <v>688.93552117373531</v>
      </c>
      <c r="L95" s="12">
        <v>233.51558241470963</v>
      </c>
    </row>
    <row r="96" spans="1:12" ht="15" customHeight="1" x14ac:dyDescent="0.2">
      <c r="A96" s="10" t="s">
        <v>353</v>
      </c>
      <c r="B96" s="12">
        <v>347.67582141567493</v>
      </c>
      <c r="C96" s="12">
        <v>289.36817371673675</v>
      </c>
      <c r="D96" s="12">
        <v>508.16789727442438</v>
      </c>
      <c r="E96" s="12">
        <v>198.91417923675363</v>
      </c>
      <c r="F96" s="12">
        <v>353.56680927893791</v>
      </c>
      <c r="G96" s="12">
        <v>208.06047933563491</v>
      </c>
      <c r="H96" s="12">
        <v>311.01373760653064</v>
      </c>
      <c r="I96" s="12">
        <v>197.99698381191203</v>
      </c>
      <c r="J96" s="12">
        <v>346.67571958890301</v>
      </c>
      <c r="K96" s="12">
        <v>619.52504850963771</v>
      </c>
      <c r="L96" s="12">
        <v>221.69426048485821</v>
      </c>
    </row>
    <row r="97" spans="1:12" ht="15" customHeight="1" x14ac:dyDescent="0.2">
      <c r="A97" s="10" t="s">
        <v>354</v>
      </c>
      <c r="B97" s="12">
        <v>345.76971370696486</v>
      </c>
      <c r="C97" s="12">
        <v>245.61450198808691</v>
      </c>
      <c r="D97" s="12">
        <v>469.60769712381011</v>
      </c>
      <c r="E97" s="12">
        <v>189.09595046025734</v>
      </c>
      <c r="F97" s="12">
        <v>352.0781475777062</v>
      </c>
      <c r="G97" s="12">
        <v>230.98011041911624</v>
      </c>
      <c r="H97" s="12">
        <v>326.69396301913343</v>
      </c>
      <c r="I97" s="12">
        <v>247.95085263531979</v>
      </c>
      <c r="J97" s="12">
        <v>333.99285798956339</v>
      </c>
      <c r="K97" s="12">
        <v>473.65083725355078</v>
      </c>
      <c r="L97" s="12">
        <v>208.72893100330586</v>
      </c>
    </row>
    <row r="98" spans="1:12" ht="15" customHeight="1" x14ac:dyDescent="0.2">
      <c r="A98" s="10" t="s">
        <v>355</v>
      </c>
      <c r="B98" s="12">
        <v>336.32298288179334</v>
      </c>
      <c r="C98" s="12">
        <v>288.61448141153676</v>
      </c>
      <c r="D98" s="12">
        <v>479.88077009372472</v>
      </c>
      <c r="E98" s="12">
        <v>185.2689819497333</v>
      </c>
      <c r="F98" s="12">
        <v>352.81258352239053</v>
      </c>
      <c r="G98" s="12">
        <v>220.53655654817405</v>
      </c>
      <c r="H98" s="12">
        <v>323.12095722049207</v>
      </c>
      <c r="I98" s="12">
        <v>229.77110876713394</v>
      </c>
      <c r="J98" s="12">
        <v>350.48076709081698</v>
      </c>
      <c r="K98" s="12">
        <v>495.4935564211583</v>
      </c>
      <c r="L98" s="12">
        <v>208.33793284330014</v>
      </c>
    </row>
    <row r="99" spans="1:12" ht="15" customHeight="1" x14ac:dyDescent="0.2">
      <c r="A99" s="10" t="s">
        <v>356</v>
      </c>
      <c r="B99" s="12">
        <v>334.46266614532595</v>
      </c>
      <c r="C99" s="12">
        <v>267.74891161627068</v>
      </c>
      <c r="D99" s="12">
        <v>437.24818200033297</v>
      </c>
      <c r="E99" s="12">
        <v>190.39112994546664</v>
      </c>
      <c r="F99" s="12">
        <v>350.75674942475376</v>
      </c>
      <c r="G99" s="12">
        <v>255.26002456074207</v>
      </c>
      <c r="H99" s="12">
        <v>322.34331562236605</v>
      </c>
      <c r="I99" s="12">
        <v>242.72201178910015</v>
      </c>
      <c r="J99" s="12">
        <v>343.27362175818564</v>
      </c>
      <c r="K99" s="12">
        <v>301.40999920693366</v>
      </c>
      <c r="L99" s="12">
        <v>211.45844589778599</v>
      </c>
    </row>
    <row r="100" spans="1:12" ht="15" customHeight="1" x14ac:dyDescent="0.2">
      <c r="A100" s="10" t="s">
        <v>357</v>
      </c>
      <c r="B100" s="12">
        <v>325.83666241017477</v>
      </c>
      <c r="C100" s="12">
        <v>271.02928619456918</v>
      </c>
      <c r="D100" s="12">
        <v>455.54650762970169</v>
      </c>
      <c r="E100" s="12">
        <v>205.65706558968955</v>
      </c>
      <c r="F100" s="12">
        <v>341.58216479736711</v>
      </c>
      <c r="G100" s="12">
        <v>284.99742547074214</v>
      </c>
      <c r="H100" s="12">
        <v>329.43253863431443</v>
      </c>
      <c r="I100" s="12">
        <v>194.42254851936676</v>
      </c>
      <c r="J100" s="12">
        <v>335.33869735887288</v>
      </c>
      <c r="K100" s="12">
        <v>249.80499278135244</v>
      </c>
      <c r="L100" s="12">
        <v>226.09909728139738</v>
      </c>
    </row>
    <row r="101" spans="1:12" ht="15" customHeight="1" x14ac:dyDescent="0.2">
      <c r="A101" s="10" t="s">
        <v>358</v>
      </c>
      <c r="B101" s="12">
        <v>310.00215692735452</v>
      </c>
      <c r="C101" s="12">
        <v>164.46301701283318</v>
      </c>
      <c r="D101" s="12">
        <v>423.42785665518034</v>
      </c>
      <c r="E101" s="12">
        <v>179.70409630597436</v>
      </c>
      <c r="F101" s="12">
        <v>337.64560095332126</v>
      </c>
      <c r="G101" s="12">
        <v>254.62021830263143</v>
      </c>
      <c r="H101" s="12">
        <v>354.46855272953928</v>
      </c>
      <c r="I101" s="12">
        <v>189.49848904946069</v>
      </c>
      <c r="J101" s="12">
        <v>335.88772494585874</v>
      </c>
      <c r="K101" s="12">
        <v>429.65032180321515</v>
      </c>
      <c r="L101" s="12">
        <v>202.04965347943852</v>
      </c>
    </row>
    <row r="102" spans="1:12" ht="15" customHeight="1" x14ac:dyDescent="0.2">
      <c r="A102" s="11" t="s">
        <v>287</v>
      </c>
      <c r="B102" s="122">
        <v>303.06387988572214</v>
      </c>
      <c r="C102" s="120">
        <v>169.77589366117482</v>
      </c>
      <c r="D102" s="123">
        <v>424.50628100870722</v>
      </c>
      <c r="E102" s="120">
        <v>174.92861224783408</v>
      </c>
      <c r="F102" s="120">
        <v>340.71960831141297</v>
      </c>
      <c r="G102" s="120">
        <v>266.01744036881877</v>
      </c>
      <c r="H102" s="120">
        <v>393.89736507224058</v>
      </c>
      <c r="I102" s="120">
        <v>198.94161409086237</v>
      </c>
      <c r="J102" s="120">
        <v>353.08595639936402</v>
      </c>
      <c r="K102" s="120">
        <v>471.65879974464843</v>
      </c>
      <c r="L102" s="120">
        <v>196.15515291588784</v>
      </c>
    </row>
    <row r="103" spans="1:12" ht="15" customHeight="1" x14ac:dyDescent="0.2">
      <c r="A103" s="11" t="s">
        <v>288</v>
      </c>
      <c r="B103" s="122">
        <v>312.92287113652651</v>
      </c>
      <c r="C103" s="120">
        <v>281.02949288279217</v>
      </c>
      <c r="D103" s="123">
        <v>415.57566127957818</v>
      </c>
      <c r="E103" s="120">
        <v>201.76143784104679</v>
      </c>
      <c r="F103" s="120">
        <v>343.31667347463645</v>
      </c>
      <c r="G103" s="120">
        <v>260.22426767381995</v>
      </c>
      <c r="H103" s="120">
        <v>446.19713301035324</v>
      </c>
      <c r="I103" s="120">
        <v>200.39585435020359</v>
      </c>
      <c r="J103" s="120">
        <v>357.30682527606365</v>
      </c>
      <c r="K103" s="120">
        <v>516.67495978318539</v>
      </c>
      <c r="L103" s="120">
        <v>223.22646997349784</v>
      </c>
    </row>
    <row r="104" spans="1:12" ht="15" customHeight="1" x14ac:dyDescent="0.2">
      <c r="A104" s="11" t="s">
        <v>289</v>
      </c>
      <c r="B104" s="122">
        <v>299.89263608937557</v>
      </c>
      <c r="C104" s="120">
        <v>239.19113473394583</v>
      </c>
      <c r="D104" s="123">
        <v>492.33778190389694</v>
      </c>
      <c r="E104" s="120">
        <v>185.84743504827762</v>
      </c>
      <c r="F104" s="120">
        <v>347.57310957261916</v>
      </c>
      <c r="G104" s="120">
        <v>266.9146096695722</v>
      </c>
      <c r="H104" s="120">
        <v>388.66847867641445</v>
      </c>
      <c r="I104" s="120">
        <v>230.31618477476451</v>
      </c>
      <c r="J104" s="120">
        <v>357.71003892406486</v>
      </c>
      <c r="K104" s="120">
        <v>364.78647777213979</v>
      </c>
      <c r="L104" s="120">
        <v>207.13315600638259</v>
      </c>
    </row>
    <row r="105" spans="1:12" ht="15" customHeight="1" x14ac:dyDescent="0.2">
      <c r="A105" s="11" t="s">
        <v>290</v>
      </c>
      <c r="B105" s="122">
        <v>313.02939250434628</v>
      </c>
      <c r="C105" s="120">
        <v>266.46373736237604</v>
      </c>
      <c r="D105" s="123">
        <v>468.67760846033354</v>
      </c>
      <c r="E105" s="120">
        <v>158.02815877421463</v>
      </c>
      <c r="F105" s="120">
        <v>347.9297107714703</v>
      </c>
      <c r="G105" s="120">
        <v>266.83562014671332</v>
      </c>
      <c r="H105" s="120">
        <v>386.00740885114072</v>
      </c>
      <c r="I105" s="120">
        <v>238.39671358833908</v>
      </c>
      <c r="J105" s="120">
        <v>349.81557759900653</v>
      </c>
      <c r="K105" s="120">
        <v>433.88324773795449</v>
      </c>
      <c r="L105" s="120">
        <v>181.02878780812372</v>
      </c>
    </row>
    <row r="106" spans="1:12" ht="15" customHeight="1" x14ac:dyDescent="0.2">
      <c r="A106" s="11" t="s">
        <v>291</v>
      </c>
      <c r="B106" s="122">
        <v>320.94356483854193</v>
      </c>
      <c r="C106" s="120">
        <v>244.22974518648738</v>
      </c>
      <c r="D106" s="123">
        <v>508.79760076971064</v>
      </c>
      <c r="E106" s="120">
        <v>180.80643599304597</v>
      </c>
      <c r="F106" s="120">
        <v>356.52307126714783</v>
      </c>
      <c r="G106" s="120">
        <v>257.22752123904223</v>
      </c>
      <c r="H106" s="120">
        <v>398.11726256926022</v>
      </c>
      <c r="I106" s="120">
        <v>273.38867936639406</v>
      </c>
      <c r="J106" s="120">
        <v>364.77598692339495</v>
      </c>
      <c r="K106" s="120">
        <v>579.73873183521005</v>
      </c>
      <c r="L106" s="120">
        <v>205.68495679377838</v>
      </c>
    </row>
    <row r="107" spans="1:12" ht="15" customHeight="1" x14ac:dyDescent="0.2">
      <c r="A107" s="11" t="s">
        <v>292</v>
      </c>
      <c r="B107" s="122">
        <v>310.16227179352273</v>
      </c>
      <c r="C107" s="120">
        <v>222.23738838843883</v>
      </c>
      <c r="D107" s="123">
        <v>481.09515152521737</v>
      </c>
      <c r="E107" s="120">
        <v>204.45938015668645</v>
      </c>
      <c r="F107" s="120">
        <v>342.00153503468414</v>
      </c>
      <c r="G107" s="120">
        <v>275.31837532194311</v>
      </c>
      <c r="H107" s="120">
        <v>432.21598112831788</v>
      </c>
      <c r="I107" s="120">
        <v>204.47007530161662</v>
      </c>
      <c r="J107" s="120">
        <v>354.38233410411806</v>
      </c>
      <c r="K107" s="120">
        <v>489.34323530123061</v>
      </c>
      <c r="L107" s="120">
        <v>226.21736425646142</v>
      </c>
    </row>
    <row r="108" spans="1:12" ht="15" customHeight="1" x14ac:dyDescent="0.2">
      <c r="A108" s="11" t="s">
        <v>341</v>
      </c>
      <c r="B108" s="122">
        <v>344.52975658396048</v>
      </c>
      <c r="C108" s="120">
        <v>228.08879687985441</v>
      </c>
      <c r="D108" s="123">
        <v>507.44812963491876</v>
      </c>
      <c r="E108" s="120">
        <v>196.6406146748912</v>
      </c>
      <c r="F108" s="120">
        <v>351.13444060885229</v>
      </c>
      <c r="G108" s="120">
        <v>261.05840322912235</v>
      </c>
      <c r="H108" s="120">
        <v>435.0432344447778</v>
      </c>
      <c r="I108" s="120">
        <v>301.49389764018719</v>
      </c>
      <c r="J108" s="120">
        <v>374.30620505626104</v>
      </c>
      <c r="K108" s="120">
        <v>484.39564278852794</v>
      </c>
      <c r="L108" s="120">
        <v>222.80401530269265</v>
      </c>
    </row>
    <row r="109" spans="1:12" ht="15" customHeight="1" x14ac:dyDescent="0.2">
      <c r="A109" s="11" t="s">
        <v>342</v>
      </c>
      <c r="B109" s="122">
        <v>347.50072625964674</v>
      </c>
      <c r="C109" s="120">
        <v>265.53111393278766</v>
      </c>
      <c r="D109" s="123">
        <v>450.58966543671607</v>
      </c>
      <c r="E109" s="120">
        <v>187.70876472877592</v>
      </c>
      <c r="F109" s="120">
        <v>357.93830491789015</v>
      </c>
      <c r="G109" s="120">
        <v>268.90367371190075</v>
      </c>
      <c r="H109" s="120">
        <v>438.6471406711928</v>
      </c>
      <c r="I109" s="120">
        <v>276.95017484884471</v>
      </c>
      <c r="J109" s="120">
        <v>372.00321618815303</v>
      </c>
      <c r="K109" s="120">
        <v>274.06091556678172</v>
      </c>
      <c r="L109" s="120">
        <v>211.9970899599877</v>
      </c>
    </row>
    <row r="110" spans="1:12" ht="15" customHeight="1" x14ac:dyDescent="0.2">
      <c r="A110" s="11" t="s">
        <v>343</v>
      </c>
      <c r="B110" s="122">
        <v>330.587801387269</v>
      </c>
      <c r="C110" s="120">
        <v>271.45078312737115</v>
      </c>
      <c r="D110" s="123">
        <v>436.154967974432</v>
      </c>
      <c r="E110" s="120">
        <v>171.14382462776763</v>
      </c>
      <c r="F110" s="120">
        <v>345.02165051119687</v>
      </c>
      <c r="G110" s="120">
        <v>303.34067708781635</v>
      </c>
      <c r="H110" s="120">
        <v>436.88144899375692</v>
      </c>
      <c r="I110" s="120">
        <v>302.92898210459515</v>
      </c>
      <c r="J110" s="120">
        <v>372.41761893932517</v>
      </c>
      <c r="K110" s="120">
        <v>580.51819181093651</v>
      </c>
      <c r="L110" s="120">
        <v>199.8155534302837</v>
      </c>
    </row>
    <row r="111" spans="1:12" ht="15" customHeight="1" x14ac:dyDescent="0.2">
      <c r="A111" s="11" t="s">
        <v>344</v>
      </c>
      <c r="B111" s="122">
        <v>340.6798675039264</v>
      </c>
      <c r="C111" s="120">
        <v>190.04898073226013</v>
      </c>
      <c r="D111" s="123">
        <v>482.5958330168599</v>
      </c>
      <c r="E111" s="120">
        <v>206.41147345523478</v>
      </c>
      <c r="F111" s="120">
        <v>344.30583403860459</v>
      </c>
      <c r="G111" s="120">
        <v>259.57650123557391</v>
      </c>
      <c r="H111" s="120">
        <v>436.64724810047647</v>
      </c>
      <c r="I111" s="120">
        <v>255.20942884233273</v>
      </c>
      <c r="J111" s="120">
        <v>357.85866519812811</v>
      </c>
      <c r="K111" s="120">
        <v>221.76181621327945</v>
      </c>
      <c r="L111" s="120">
        <v>229.00766270823036</v>
      </c>
    </row>
    <row r="112" spans="1:12" ht="15" customHeight="1" x14ac:dyDescent="0.2">
      <c r="A112" s="11" t="s">
        <v>345</v>
      </c>
      <c r="B112" s="122">
        <v>353.56225499022742</v>
      </c>
      <c r="C112" s="120">
        <v>249.07963467438751</v>
      </c>
      <c r="D112" s="123">
        <v>513.38020497638468</v>
      </c>
      <c r="E112" s="120">
        <v>220.68867717803187</v>
      </c>
      <c r="F112" s="120">
        <v>349.01587499087731</v>
      </c>
      <c r="G112" s="120">
        <v>263.55693874128309</v>
      </c>
      <c r="H112" s="120">
        <v>449.52998017400921</v>
      </c>
      <c r="I112" s="120">
        <v>368.58089043726432</v>
      </c>
      <c r="J112" s="120">
        <v>370.99761360437145</v>
      </c>
      <c r="K112" s="120">
        <v>441.34635459909481</v>
      </c>
      <c r="L112" s="120">
        <v>243.30020997016189</v>
      </c>
    </row>
    <row r="113" spans="1:12" ht="15" customHeight="1" x14ac:dyDescent="0.2">
      <c r="A113" s="11" t="s">
        <v>346</v>
      </c>
      <c r="B113" s="122">
        <v>331.05164000522825</v>
      </c>
      <c r="C113" s="120">
        <v>158.30327365562425</v>
      </c>
      <c r="D113" s="123">
        <v>482.57221351748547</v>
      </c>
      <c r="E113" s="120">
        <v>174.61487583352786</v>
      </c>
      <c r="F113" s="120">
        <v>359.97327986870317</v>
      </c>
      <c r="G113" s="120">
        <v>266.64543470039791</v>
      </c>
      <c r="H113" s="120">
        <v>471.09724820790672</v>
      </c>
      <c r="I113" s="120">
        <v>398.20075847150241</v>
      </c>
      <c r="J113" s="120">
        <v>398.37044481950107</v>
      </c>
      <c r="K113" s="120">
        <v>363.88918080284964</v>
      </c>
      <c r="L113" s="120">
        <v>198.7945612681157</v>
      </c>
    </row>
    <row r="114" spans="1:12" ht="15" customHeight="1" x14ac:dyDescent="0.2">
      <c r="A114" s="10" t="s">
        <v>373</v>
      </c>
      <c r="B114" s="12">
        <v>321.59781161656122</v>
      </c>
      <c r="C114" s="12">
        <v>165.19651480912836</v>
      </c>
      <c r="D114" s="12">
        <v>454.55744459524095</v>
      </c>
      <c r="E114" s="12">
        <v>179.46451374719996</v>
      </c>
      <c r="F114" s="12">
        <v>359.62118934863048</v>
      </c>
      <c r="G114" s="12">
        <v>243.50182089978443</v>
      </c>
      <c r="H114" s="12">
        <v>439.40759406364162</v>
      </c>
      <c r="I114" s="12">
        <v>407.37876126767236</v>
      </c>
      <c r="J114" s="12">
        <v>390.94791723953784</v>
      </c>
      <c r="K114" s="12">
        <v>572.41580771313591</v>
      </c>
      <c r="L114" s="12">
        <v>206.12236680384248</v>
      </c>
    </row>
    <row r="115" spans="1:12" ht="15" customHeight="1" x14ac:dyDescent="0.2">
      <c r="A115" s="10" t="s">
        <v>374</v>
      </c>
      <c r="B115" s="12">
        <v>327.68444651144426</v>
      </c>
      <c r="C115" s="12">
        <v>251.72383473978093</v>
      </c>
      <c r="D115" s="12">
        <v>546.15148855100961</v>
      </c>
      <c r="E115" s="12">
        <v>200.0340289686759</v>
      </c>
      <c r="F115" s="12">
        <v>352.26321515961854</v>
      </c>
      <c r="G115" s="12">
        <v>252.78852322269609</v>
      </c>
      <c r="H115" s="12">
        <v>429.19727241302263</v>
      </c>
      <c r="I115" s="12">
        <v>341.80551222268252</v>
      </c>
      <c r="J115" s="12">
        <v>381.99972298078677</v>
      </c>
      <c r="K115" s="12">
        <v>452.89950519288692</v>
      </c>
      <c r="L115" s="12">
        <v>224.02749439641769</v>
      </c>
    </row>
    <row r="116" spans="1:12" ht="15" customHeight="1" x14ac:dyDescent="0.2">
      <c r="A116" s="10" t="s">
        <v>375</v>
      </c>
      <c r="B116" s="12">
        <v>314.8245713057953</v>
      </c>
      <c r="C116" s="12">
        <v>331.83670942813404</v>
      </c>
      <c r="D116" s="12">
        <v>486.84031321335567</v>
      </c>
      <c r="E116" s="12">
        <v>189.68940544038011</v>
      </c>
      <c r="F116" s="12">
        <v>352.74234353643993</v>
      </c>
      <c r="G116" s="12">
        <v>257.32160401495247</v>
      </c>
      <c r="H116" s="12">
        <v>443.92821635471483</v>
      </c>
      <c r="I116" s="12">
        <v>385.62845991682502</v>
      </c>
      <c r="J116" s="12">
        <v>390.76444386874266</v>
      </c>
      <c r="K116" s="12">
        <v>496.7207501548815</v>
      </c>
      <c r="L116" s="12">
        <v>211.28181962531653</v>
      </c>
    </row>
    <row r="117" spans="1:12" ht="15" customHeight="1" x14ac:dyDescent="0.2">
      <c r="A117" s="166" t="s">
        <v>397</v>
      </c>
      <c r="B117" s="191">
        <v>340.79715658807737</v>
      </c>
      <c r="C117" s="191">
        <v>562.39064498271671</v>
      </c>
      <c r="D117" s="191">
        <v>502.28334767701637</v>
      </c>
      <c r="E117" s="191">
        <v>189.10721896977185</v>
      </c>
      <c r="F117" s="191">
        <v>349.75425628595889</v>
      </c>
      <c r="G117" s="191">
        <v>240.85652943232108</v>
      </c>
      <c r="H117" s="191">
        <v>440.92128368373488</v>
      </c>
      <c r="I117" s="191">
        <v>362.00766748391459</v>
      </c>
      <c r="J117" s="191">
        <v>389.07606991196184</v>
      </c>
      <c r="K117" s="191">
        <v>674.5158194720417</v>
      </c>
      <c r="L117" s="191">
        <v>212.4760430222517</v>
      </c>
    </row>
    <row r="118" spans="1:12" ht="15" customHeight="1" x14ac:dyDescent="0.2">
      <c r="A118" s="76" t="s">
        <v>322</v>
      </c>
      <c r="K118" s="19" t="s">
        <v>336</v>
      </c>
    </row>
    <row r="119" spans="1:12" ht="15" customHeight="1" x14ac:dyDescent="0.2">
      <c r="A119" s="76" t="s">
        <v>1</v>
      </c>
    </row>
  </sheetData>
  <mergeCells count="6">
    <mergeCell ref="A4:L4"/>
    <mergeCell ref="A6:A8"/>
    <mergeCell ref="L6:L8"/>
    <mergeCell ref="B7:E7"/>
    <mergeCell ref="F7:J7"/>
    <mergeCell ref="K7:K8"/>
  </mergeCells>
  <phoneticPr fontId="19" type="noConversion"/>
  <hyperlinks>
    <hyperlink ref="L2" location="Contents!A1" display="Back to Contents" xr:uid="{C807F502-8C8A-49E5-9C3D-68666313A488}"/>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0A97E-853D-4736-AA1F-A9E371E6D452}">
  <dimension ref="A1:O126"/>
  <sheetViews>
    <sheetView zoomScale="90" zoomScaleNormal="90" workbookViewId="0"/>
  </sheetViews>
  <sheetFormatPr defaultRowHeight="12.75" x14ac:dyDescent="0.2"/>
  <cols>
    <col min="1" max="1" width="14" style="76" customWidth="1"/>
    <col min="2" max="2" width="15.5703125" style="19" customWidth="1"/>
    <col min="3" max="15" width="16.28515625" style="19" customWidth="1"/>
    <col min="16" max="16" width="5.5703125" style="19" customWidth="1"/>
    <col min="17" max="16384" width="9.140625" style="19"/>
  </cols>
  <sheetData>
    <row r="1" spans="1:15" s="16" customFormat="1" ht="15" customHeight="1" x14ac:dyDescent="0.25">
      <c r="A1" s="13" t="s">
        <v>29</v>
      </c>
      <c r="O1" s="15" t="s">
        <v>274</v>
      </c>
    </row>
    <row r="2" spans="1:15" s="16" customFormat="1" ht="15" customHeight="1" x14ac:dyDescent="0.25">
      <c r="A2" s="54" t="s">
        <v>286</v>
      </c>
      <c r="O2" s="17" t="s">
        <v>10</v>
      </c>
    </row>
    <row r="3" spans="1:15" s="16" customFormat="1" ht="15" customHeight="1" x14ac:dyDescent="0.25">
      <c r="A3" s="54"/>
      <c r="O3" s="17"/>
    </row>
    <row r="4" spans="1:15" s="16" customFormat="1" ht="15" customHeight="1" x14ac:dyDescent="0.25">
      <c r="A4" s="267" t="s">
        <v>389</v>
      </c>
      <c r="B4" s="267"/>
      <c r="C4" s="267"/>
      <c r="D4" s="267"/>
      <c r="E4" s="267"/>
      <c r="F4" s="267"/>
      <c r="G4" s="267"/>
      <c r="H4" s="267"/>
      <c r="I4" s="267"/>
      <c r="J4" s="267"/>
      <c r="K4" s="267"/>
      <c r="L4" s="267"/>
      <c r="M4" s="267"/>
      <c r="N4" s="267"/>
      <c r="O4" s="267"/>
    </row>
    <row r="5" spans="1:15" s="16" customFormat="1" ht="15" customHeight="1" x14ac:dyDescent="0.25">
      <c r="A5" s="119" t="s">
        <v>117</v>
      </c>
      <c r="O5" s="116" t="s">
        <v>236</v>
      </c>
    </row>
    <row r="6" spans="1:15" ht="15" customHeight="1" x14ac:dyDescent="0.2">
      <c r="A6" s="268" t="s">
        <v>3</v>
      </c>
      <c r="B6" s="117" t="s">
        <v>251</v>
      </c>
      <c r="C6" s="117"/>
      <c r="D6" s="117"/>
      <c r="E6" s="117"/>
      <c r="F6" s="117"/>
      <c r="G6" s="117"/>
      <c r="H6" s="117"/>
      <c r="I6" s="117"/>
      <c r="J6" s="117"/>
      <c r="K6" s="117"/>
      <c r="L6" s="117"/>
      <c r="M6" s="117"/>
      <c r="N6" s="117"/>
      <c r="O6" s="227" t="s">
        <v>265</v>
      </c>
    </row>
    <row r="7" spans="1:15" ht="15" customHeight="1" x14ac:dyDescent="0.2">
      <c r="A7" s="268"/>
      <c r="B7" s="269" t="s">
        <v>252</v>
      </c>
      <c r="C7" s="270"/>
      <c r="D7" s="271"/>
      <c r="E7" s="269" t="s">
        <v>255</v>
      </c>
      <c r="F7" s="270"/>
      <c r="G7" s="270"/>
      <c r="H7" s="270"/>
      <c r="I7" s="270"/>
      <c r="J7" s="271"/>
      <c r="K7" s="269" t="s">
        <v>261</v>
      </c>
      <c r="L7" s="270"/>
      <c r="M7" s="270"/>
      <c r="N7" s="271"/>
      <c r="O7" s="228"/>
    </row>
    <row r="8" spans="1:15" ht="30" customHeight="1" x14ac:dyDescent="0.2">
      <c r="A8" s="268"/>
      <c r="B8" s="118" t="s">
        <v>253</v>
      </c>
      <c r="C8" s="118" t="s">
        <v>254</v>
      </c>
      <c r="D8" s="118" t="s">
        <v>2</v>
      </c>
      <c r="E8" s="118" t="s">
        <v>256</v>
      </c>
      <c r="F8" s="118" t="s">
        <v>257</v>
      </c>
      <c r="G8" s="118" t="s">
        <v>258</v>
      </c>
      <c r="H8" s="118" t="s">
        <v>259</v>
      </c>
      <c r="I8" s="118" t="s">
        <v>260</v>
      </c>
      <c r="J8" s="118" t="s">
        <v>2</v>
      </c>
      <c r="K8" s="118" t="s">
        <v>262</v>
      </c>
      <c r="L8" s="118" t="s">
        <v>263</v>
      </c>
      <c r="M8" s="118" t="s">
        <v>264</v>
      </c>
      <c r="N8" s="118" t="s">
        <v>2</v>
      </c>
      <c r="O8" s="229"/>
    </row>
    <row r="9" spans="1:15" ht="15" customHeight="1" x14ac:dyDescent="0.2">
      <c r="A9" s="35" t="s">
        <v>48</v>
      </c>
      <c r="B9" s="12">
        <v>151.41170207048279</v>
      </c>
      <c r="C9" s="12">
        <v>204.47061613490644</v>
      </c>
      <c r="D9" s="12">
        <v>176.23838038259748</v>
      </c>
      <c r="E9" s="12">
        <v>102.62053892083813</v>
      </c>
      <c r="F9" s="12">
        <v>166.79789824920562</v>
      </c>
      <c r="G9" s="12">
        <v>110.82358705632389</v>
      </c>
      <c r="H9" s="12">
        <v>166.16547360884763</v>
      </c>
      <c r="I9" s="12">
        <v>171.23699720436738</v>
      </c>
      <c r="J9" s="12">
        <v>131.80822418812369</v>
      </c>
      <c r="K9" s="12">
        <v>100.74908164108989</v>
      </c>
      <c r="L9" s="12">
        <v>191.95270472066986</v>
      </c>
      <c r="M9" s="12">
        <v>139.82479592723703</v>
      </c>
      <c r="N9" s="12">
        <v>115.55168611408359</v>
      </c>
      <c r="O9" s="12">
        <v>134.90217373452165</v>
      </c>
    </row>
    <row r="10" spans="1:15" ht="15" customHeight="1" x14ac:dyDescent="0.2">
      <c r="A10" s="34" t="s">
        <v>49</v>
      </c>
      <c r="B10" s="120">
        <v>176.12363158431441</v>
      </c>
      <c r="C10" s="120">
        <v>255.84142476052475</v>
      </c>
      <c r="D10" s="120">
        <v>213.9766344693335</v>
      </c>
      <c r="E10" s="120">
        <v>161.23078108356214</v>
      </c>
      <c r="F10" s="120">
        <v>193.83905327692355</v>
      </c>
      <c r="G10" s="120">
        <v>155.23878252796601</v>
      </c>
      <c r="H10" s="120">
        <v>204.90187724147094</v>
      </c>
      <c r="I10" s="120">
        <v>206.83830613886602</v>
      </c>
      <c r="J10" s="120">
        <v>176.94515199182351</v>
      </c>
      <c r="K10" s="120">
        <v>102.93909589694492</v>
      </c>
      <c r="L10" s="120">
        <v>254.06876567394789</v>
      </c>
      <c r="M10" s="120">
        <v>173.08565719519081</v>
      </c>
      <c r="N10" s="120">
        <v>123.62365139550484</v>
      </c>
      <c r="O10" s="120">
        <v>166.86577311897608</v>
      </c>
    </row>
    <row r="11" spans="1:15" ht="15" customHeight="1" x14ac:dyDescent="0.2">
      <c r="A11" s="35" t="s">
        <v>50</v>
      </c>
      <c r="B11" s="12">
        <v>251.72613977986708</v>
      </c>
      <c r="C11" s="12">
        <v>395.12758760364454</v>
      </c>
      <c r="D11" s="12">
        <v>297.53926896992311</v>
      </c>
      <c r="E11" s="12">
        <v>422.45011664208948</v>
      </c>
      <c r="F11" s="12">
        <v>332.88906455363093</v>
      </c>
      <c r="G11" s="12">
        <v>521.50695354291668</v>
      </c>
      <c r="H11" s="12">
        <v>366.13793146830653</v>
      </c>
      <c r="I11" s="12">
        <v>357.85911158089959</v>
      </c>
      <c r="J11" s="12">
        <v>356.95808858223694</v>
      </c>
      <c r="K11" s="12">
        <v>150.85085138776736</v>
      </c>
      <c r="L11" s="12">
        <v>295.43015729844507</v>
      </c>
      <c r="M11" s="12">
        <v>306.73422060140138</v>
      </c>
      <c r="N11" s="12">
        <v>183.04284567273217</v>
      </c>
      <c r="O11" s="12">
        <v>300.41532842597798</v>
      </c>
    </row>
    <row r="12" spans="1:15" ht="15" customHeight="1" x14ac:dyDescent="0.2">
      <c r="A12" s="34" t="s">
        <v>51</v>
      </c>
      <c r="B12" s="120">
        <v>297.30087377874707</v>
      </c>
      <c r="C12" s="120">
        <v>426.14165020143304</v>
      </c>
      <c r="D12" s="120">
        <v>343.4660642874311</v>
      </c>
      <c r="E12" s="120">
        <v>359.17234879455805</v>
      </c>
      <c r="F12" s="120">
        <v>302.50384468015403</v>
      </c>
      <c r="G12" s="120">
        <v>290.1154550358907</v>
      </c>
      <c r="H12" s="120">
        <v>353.23236680945683</v>
      </c>
      <c r="I12" s="120">
        <v>369.05170129181738</v>
      </c>
      <c r="J12" s="120">
        <v>324.33388652396877</v>
      </c>
      <c r="K12" s="120">
        <v>129.76349062086743</v>
      </c>
      <c r="L12" s="120">
        <v>289.92450313414764</v>
      </c>
      <c r="M12" s="120">
        <v>317.69162969000041</v>
      </c>
      <c r="N12" s="120">
        <v>159.73753945846852</v>
      </c>
      <c r="O12" s="120">
        <v>279.22029126289294</v>
      </c>
    </row>
    <row r="13" spans="1:15" ht="15" customHeight="1" x14ac:dyDescent="0.2">
      <c r="A13" s="35" t="s">
        <v>338</v>
      </c>
      <c r="B13" s="12">
        <v>300.88271690755397</v>
      </c>
      <c r="C13" s="12">
        <v>353.2695743503815</v>
      </c>
      <c r="D13" s="12">
        <v>322.28036858786083</v>
      </c>
      <c r="E13" s="12">
        <v>297.82354398563746</v>
      </c>
      <c r="F13" s="12">
        <v>272.69272989100097</v>
      </c>
      <c r="G13" s="12">
        <v>237.86079197971799</v>
      </c>
      <c r="H13" s="12">
        <v>303.93809918263435</v>
      </c>
      <c r="I13" s="12">
        <v>266.94167680265684</v>
      </c>
      <c r="J13" s="12">
        <v>275.9635756416078</v>
      </c>
      <c r="K13" s="12">
        <v>126.72307159170364</v>
      </c>
      <c r="L13" s="12">
        <v>269.52772140797794</v>
      </c>
      <c r="M13" s="12">
        <v>270.60534155764373</v>
      </c>
      <c r="N13" s="12">
        <v>152.17863843021962</v>
      </c>
      <c r="O13" s="12">
        <v>245.23415200908093</v>
      </c>
    </row>
    <row r="14" spans="1:15" ht="15" customHeight="1" x14ac:dyDescent="0.2">
      <c r="A14" s="34" t="s">
        <v>337</v>
      </c>
      <c r="B14" s="120">
        <v>287.20523275068632</v>
      </c>
      <c r="C14" s="120">
        <v>449.32608371937579</v>
      </c>
      <c r="D14" s="120">
        <v>369.55198192241363</v>
      </c>
      <c r="E14" s="120">
        <v>259.07898416063568</v>
      </c>
      <c r="F14" s="120">
        <v>257.29976034218402</v>
      </c>
      <c r="G14" s="120">
        <v>226.15868762143973</v>
      </c>
      <c r="H14" s="120">
        <v>300.69660349675956</v>
      </c>
      <c r="I14" s="120">
        <v>259.67631416897598</v>
      </c>
      <c r="J14" s="120">
        <v>253.09590750377333</v>
      </c>
      <c r="K14" s="120">
        <v>126.49584266378787</v>
      </c>
      <c r="L14" s="120">
        <v>369.1246551377493</v>
      </c>
      <c r="M14" s="120">
        <v>253.50910983553518</v>
      </c>
      <c r="N14" s="120">
        <v>161.05113068509618</v>
      </c>
      <c r="O14" s="120">
        <v>245.69583539446117</v>
      </c>
    </row>
    <row r="15" spans="1:15" ht="15" customHeight="1" x14ac:dyDescent="0.2">
      <c r="A15" s="8"/>
      <c r="B15" s="114"/>
      <c r="C15" s="114"/>
      <c r="D15" s="114"/>
      <c r="E15" s="114"/>
      <c r="F15" s="114"/>
      <c r="G15" s="114"/>
      <c r="H15" s="114"/>
      <c r="I15" s="114"/>
      <c r="J15" s="114"/>
      <c r="K15" s="114"/>
      <c r="L15" s="114"/>
      <c r="M15" s="114"/>
      <c r="N15" s="114"/>
      <c r="O15" s="120"/>
    </row>
    <row r="16" spans="1:15" ht="15" customHeight="1" x14ac:dyDescent="0.2">
      <c r="A16" s="9" t="s">
        <v>13</v>
      </c>
      <c r="B16" s="115">
        <v>147.30896206288045</v>
      </c>
      <c r="C16" s="115">
        <v>205.04851390509756</v>
      </c>
      <c r="D16" s="115">
        <v>174.776708157417</v>
      </c>
      <c r="E16" s="115">
        <v>122.09032358833967</v>
      </c>
      <c r="F16" s="115">
        <v>167.58533901058146</v>
      </c>
      <c r="G16" s="115">
        <v>118.34556554127545</v>
      </c>
      <c r="H16" s="115">
        <v>152.81130523045951</v>
      </c>
      <c r="I16" s="115">
        <v>167.61457561180572</v>
      </c>
      <c r="J16" s="115">
        <v>136.42656796316572</v>
      </c>
      <c r="K16" s="115">
        <v>100.76999811879975</v>
      </c>
      <c r="L16" s="115">
        <v>178.32676373312825</v>
      </c>
      <c r="M16" s="115">
        <v>147.00374870920402</v>
      </c>
      <c r="N16" s="115">
        <v>117.96166417347882</v>
      </c>
      <c r="O16" s="115">
        <v>138.36433328997441</v>
      </c>
    </row>
    <row r="17" spans="1:15" ht="15" customHeight="1" x14ac:dyDescent="0.2">
      <c r="A17" s="9" t="s">
        <v>14</v>
      </c>
      <c r="B17" s="115">
        <v>159.26042320818257</v>
      </c>
      <c r="C17" s="115">
        <v>198.10836893908223</v>
      </c>
      <c r="D17" s="115">
        <v>178.80894244824904</v>
      </c>
      <c r="E17" s="115">
        <v>75.979407920241002</v>
      </c>
      <c r="F17" s="115">
        <v>176.5236413608784</v>
      </c>
      <c r="G17" s="115">
        <v>126.5945988181018</v>
      </c>
      <c r="H17" s="115">
        <v>171.77663047402339</v>
      </c>
      <c r="I17" s="115">
        <v>178.87464315949117</v>
      </c>
      <c r="J17" s="115">
        <v>130.16424992339651</v>
      </c>
      <c r="K17" s="115">
        <v>105.09576387280815</v>
      </c>
      <c r="L17" s="115">
        <v>213.55738800777596</v>
      </c>
      <c r="M17" s="115">
        <v>139.43221288087503</v>
      </c>
      <c r="N17" s="115">
        <v>123.14211686599957</v>
      </c>
      <c r="O17" s="115">
        <v>138.16925003089156</v>
      </c>
    </row>
    <row r="18" spans="1:15" ht="15" customHeight="1" x14ac:dyDescent="0.2">
      <c r="A18" s="9" t="s">
        <v>15</v>
      </c>
      <c r="B18" s="115">
        <v>147.83726868534575</v>
      </c>
      <c r="C18" s="115">
        <v>210.907912237858</v>
      </c>
      <c r="D18" s="115">
        <v>176.26127774107678</v>
      </c>
      <c r="E18" s="115">
        <v>95.094628583971428</v>
      </c>
      <c r="F18" s="115">
        <v>163.30304373261242</v>
      </c>
      <c r="G18" s="115">
        <v>114.88977764088948</v>
      </c>
      <c r="H18" s="115">
        <v>165.51200599089023</v>
      </c>
      <c r="I18" s="115">
        <v>169.02143156665542</v>
      </c>
      <c r="J18" s="115">
        <v>126.70147899172977</v>
      </c>
      <c r="K18" s="115">
        <v>106.089476789009</v>
      </c>
      <c r="L18" s="115">
        <v>193.91761581740096</v>
      </c>
      <c r="M18" s="115">
        <v>132.85746123236865</v>
      </c>
      <c r="N18" s="115">
        <v>115.91330922578939</v>
      </c>
      <c r="O18" s="115">
        <v>131.08595608135855</v>
      </c>
    </row>
    <row r="19" spans="1:15" ht="15" customHeight="1" x14ac:dyDescent="0.2">
      <c r="A19" s="9" t="s">
        <v>16</v>
      </c>
      <c r="B19" s="115">
        <v>152.26651208765921</v>
      </c>
      <c r="C19" s="115">
        <v>204.71171125293938</v>
      </c>
      <c r="D19" s="115">
        <v>175.37344374767642</v>
      </c>
      <c r="E19" s="115">
        <v>104.12895098444039</v>
      </c>
      <c r="F19" s="115">
        <v>163.15960570093398</v>
      </c>
      <c r="G19" s="115">
        <v>99.932670984593642</v>
      </c>
      <c r="H19" s="115">
        <v>174.35817568240492</v>
      </c>
      <c r="I19" s="115">
        <v>171.50320796784385</v>
      </c>
      <c r="J19" s="115">
        <v>133.57365543272704</v>
      </c>
      <c r="K19" s="115">
        <v>93.305855882893596</v>
      </c>
      <c r="L19" s="115">
        <v>182.8167106175348</v>
      </c>
      <c r="M19" s="115">
        <v>140.11435807243481</v>
      </c>
      <c r="N19" s="115">
        <v>107.66750567564533</v>
      </c>
      <c r="O19" s="115">
        <v>132.79451033622775</v>
      </c>
    </row>
    <row r="20" spans="1:15" ht="15" customHeight="1" x14ac:dyDescent="0.2">
      <c r="A20" s="8" t="s">
        <v>17</v>
      </c>
      <c r="B20" s="114">
        <v>161.51254904167553</v>
      </c>
      <c r="C20" s="114">
        <v>235.55779435758248</v>
      </c>
      <c r="D20" s="114">
        <v>191.19174583093411</v>
      </c>
      <c r="E20" s="114">
        <v>136.42995550466674</v>
      </c>
      <c r="F20" s="114">
        <v>174.61445249350604</v>
      </c>
      <c r="G20" s="114">
        <v>128.0121017269505</v>
      </c>
      <c r="H20" s="114">
        <v>185.66287202452398</v>
      </c>
      <c r="I20" s="114">
        <v>195.24666189652228</v>
      </c>
      <c r="J20" s="114">
        <v>155.80846674676653</v>
      </c>
      <c r="K20" s="114">
        <v>100.88992027102191</v>
      </c>
      <c r="L20" s="114">
        <v>212.60084611053179</v>
      </c>
      <c r="M20" s="114">
        <v>157.04571892406449</v>
      </c>
      <c r="N20" s="114">
        <v>116.93063862663833</v>
      </c>
      <c r="O20" s="114">
        <v>150.87921483611885</v>
      </c>
    </row>
    <row r="21" spans="1:15" ht="15" customHeight="1" x14ac:dyDescent="0.2">
      <c r="A21" s="8" t="s">
        <v>18</v>
      </c>
      <c r="B21" s="114">
        <v>176.84851089182368</v>
      </c>
      <c r="C21" s="114">
        <v>234.49045689212738</v>
      </c>
      <c r="D21" s="114">
        <v>204.61710188481283</v>
      </c>
      <c r="E21" s="114">
        <v>150.63015793718387</v>
      </c>
      <c r="F21" s="114">
        <v>183.89083857198872</v>
      </c>
      <c r="G21" s="114">
        <v>142.7158129585176</v>
      </c>
      <c r="H21" s="114">
        <v>209.83648550200346</v>
      </c>
      <c r="I21" s="114">
        <v>197.26190897269828</v>
      </c>
      <c r="J21" s="114">
        <v>172.15798653765091</v>
      </c>
      <c r="K21" s="114">
        <v>114.86818130966468</v>
      </c>
      <c r="L21" s="114">
        <v>226.83812856759423</v>
      </c>
      <c r="M21" s="114">
        <v>168.56765314445624</v>
      </c>
      <c r="N21" s="114">
        <v>132.97672262711561</v>
      </c>
      <c r="O21" s="114">
        <v>166.27260738927478</v>
      </c>
    </row>
    <row r="22" spans="1:15" ht="15" customHeight="1" x14ac:dyDescent="0.2">
      <c r="A22" s="8" t="s">
        <v>19</v>
      </c>
      <c r="B22" s="114">
        <v>207.19805856668958</v>
      </c>
      <c r="C22" s="114">
        <v>266.93920195861182</v>
      </c>
      <c r="D22" s="114">
        <v>242.17005913680273</v>
      </c>
      <c r="E22" s="114">
        <v>170.96497958701181</v>
      </c>
      <c r="F22" s="114">
        <v>206.26228827965983</v>
      </c>
      <c r="G22" s="114">
        <v>191.82854687683687</v>
      </c>
      <c r="H22" s="114">
        <v>216.94335040072832</v>
      </c>
      <c r="I22" s="114">
        <v>200.48738831362064</v>
      </c>
      <c r="J22" s="114">
        <v>186.57412547404019</v>
      </c>
      <c r="K22" s="114">
        <v>104.59064619226781</v>
      </c>
      <c r="L22" s="114">
        <v>286.24114328993517</v>
      </c>
      <c r="M22" s="114">
        <v>174.35126119359842</v>
      </c>
      <c r="N22" s="114">
        <v>127.17184809282797</v>
      </c>
      <c r="O22" s="114">
        <v>176.29202191458617</v>
      </c>
    </row>
    <row r="23" spans="1:15" ht="15" customHeight="1" x14ac:dyDescent="0.2">
      <c r="A23" s="8" t="s">
        <v>20</v>
      </c>
      <c r="B23" s="114">
        <v>172.08049644268857</v>
      </c>
      <c r="C23" s="114">
        <v>286.98821062020221</v>
      </c>
      <c r="D23" s="114">
        <v>223.86729314104124</v>
      </c>
      <c r="E23" s="114">
        <v>191.53080537010402</v>
      </c>
      <c r="F23" s="114">
        <v>210.86585574980936</v>
      </c>
      <c r="G23" s="114">
        <v>196.39054420023166</v>
      </c>
      <c r="H23" s="114">
        <v>210.59796332854597</v>
      </c>
      <c r="I23" s="114">
        <v>230.68100438457896</v>
      </c>
      <c r="J23" s="114">
        <v>195.01726790302487</v>
      </c>
      <c r="K23" s="114">
        <v>94.574366457973554</v>
      </c>
      <c r="L23" s="114">
        <v>292.22932675202878</v>
      </c>
      <c r="M23" s="114">
        <v>191.90101466887364</v>
      </c>
      <c r="N23" s="114">
        <v>118.83189122994028</v>
      </c>
      <c r="O23" s="114">
        <v>175.15351323320957</v>
      </c>
    </row>
    <row r="24" spans="1:15" ht="15" customHeight="1" x14ac:dyDescent="0.2">
      <c r="A24" s="9" t="s">
        <v>21</v>
      </c>
      <c r="B24" s="115">
        <v>186.5515957032822</v>
      </c>
      <c r="C24" s="115">
        <v>278.01861070293614</v>
      </c>
      <c r="D24" s="115">
        <v>219.18237303514965</v>
      </c>
      <c r="E24" s="115">
        <v>264.11242934725107</v>
      </c>
      <c r="F24" s="115">
        <v>221.45620375489838</v>
      </c>
      <c r="G24" s="115">
        <v>278.31473476004044</v>
      </c>
      <c r="H24" s="115">
        <v>233.39542703658802</v>
      </c>
      <c r="I24" s="115">
        <v>231.16661863999232</v>
      </c>
      <c r="J24" s="115">
        <v>231.72107707940407</v>
      </c>
      <c r="K24" s="115">
        <v>107.17883588305079</v>
      </c>
      <c r="L24" s="115">
        <v>238.46086768231581</v>
      </c>
      <c r="M24" s="115">
        <v>215.84231220659689</v>
      </c>
      <c r="N24" s="115">
        <v>131.92224018899898</v>
      </c>
      <c r="O24" s="115">
        <v>200.3294938277003</v>
      </c>
    </row>
    <row r="25" spans="1:15" ht="15" customHeight="1" x14ac:dyDescent="0.2">
      <c r="A25" s="9" t="s">
        <v>22</v>
      </c>
      <c r="B25" s="115">
        <v>286.18641273076503</v>
      </c>
      <c r="C25" s="115">
        <v>395.12167964634705</v>
      </c>
      <c r="D25" s="115">
        <v>323.44475441224006</v>
      </c>
      <c r="E25" s="115">
        <v>505.53651849573703</v>
      </c>
      <c r="F25" s="115">
        <v>392.68621778827969</v>
      </c>
      <c r="G25" s="115">
        <v>340.04096238901855</v>
      </c>
      <c r="H25" s="115">
        <v>406.10059876640389</v>
      </c>
      <c r="I25" s="115">
        <v>381.23756970796859</v>
      </c>
      <c r="J25" s="115">
        <v>409.91037572780772</v>
      </c>
      <c r="K25" s="115">
        <v>170.2481936210641</v>
      </c>
      <c r="L25" s="115">
        <v>456.77663215387156</v>
      </c>
      <c r="M25" s="115">
        <v>353.60693774300717</v>
      </c>
      <c r="N25" s="115">
        <v>208.3878531480415</v>
      </c>
      <c r="O25" s="115">
        <v>341.72342132009163</v>
      </c>
    </row>
    <row r="26" spans="1:15" ht="15" customHeight="1" x14ac:dyDescent="0.2">
      <c r="A26" s="9" t="s">
        <v>23</v>
      </c>
      <c r="B26" s="115">
        <v>269.6916513947242</v>
      </c>
      <c r="C26" s="115">
        <v>530.33110968934307</v>
      </c>
      <c r="D26" s="115">
        <v>335.37342583916461</v>
      </c>
      <c r="E26" s="115">
        <v>510.1505027045896</v>
      </c>
      <c r="F26" s="115">
        <v>404.29014858120036</v>
      </c>
      <c r="G26" s="115">
        <v>545.53396721034596</v>
      </c>
      <c r="H26" s="115">
        <v>434.95458163159793</v>
      </c>
      <c r="I26" s="115">
        <v>347.40811047530491</v>
      </c>
      <c r="J26" s="115">
        <v>421.90983351253601</v>
      </c>
      <c r="K26" s="115">
        <v>220.94796713409406</v>
      </c>
      <c r="L26" s="115">
        <v>305.02601436370742</v>
      </c>
      <c r="M26" s="115">
        <v>386.61607760313473</v>
      </c>
      <c r="N26" s="115">
        <v>258.19163464789551</v>
      </c>
      <c r="O26" s="115">
        <v>366.23283585439174</v>
      </c>
    </row>
    <row r="27" spans="1:15" ht="15" customHeight="1" x14ac:dyDescent="0.2">
      <c r="A27" s="9" t="s">
        <v>24</v>
      </c>
      <c r="B27" s="115">
        <v>284.89941723322931</v>
      </c>
      <c r="C27" s="115">
        <v>469.30474504724248</v>
      </c>
      <c r="D27" s="115">
        <v>342.73237521496077</v>
      </c>
      <c r="E27" s="115">
        <v>480.47563482082421</v>
      </c>
      <c r="F27" s="115">
        <v>343.62280884554031</v>
      </c>
      <c r="G27" s="115">
        <v>596.44424233229745</v>
      </c>
      <c r="H27" s="115">
        <v>428.12732735605516</v>
      </c>
      <c r="I27" s="115">
        <v>458.87957528842014</v>
      </c>
      <c r="J27" s="115">
        <v>408.37519320005276</v>
      </c>
      <c r="K27" s="115">
        <v>149.19575464108397</v>
      </c>
      <c r="L27" s="115">
        <v>250.60009167970927</v>
      </c>
      <c r="M27" s="115">
        <v>345.61441092722771</v>
      </c>
      <c r="N27" s="115">
        <v>182.81138400162621</v>
      </c>
      <c r="O27" s="115">
        <v>338.76950500994093</v>
      </c>
    </row>
    <row r="28" spans="1:15" ht="15" customHeight="1" x14ac:dyDescent="0.2">
      <c r="A28" s="8" t="s">
        <v>25</v>
      </c>
      <c r="B28" s="114">
        <v>301.54251129094291</v>
      </c>
      <c r="C28" s="114">
        <v>422.32310002744686</v>
      </c>
      <c r="D28" s="114">
        <v>345.96122129930615</v>
      </c>
      <c r="E28" s="114">
        <v>422.3566205841143</v>
      </c>
      <c r="F28" s="114">
        <v>328.54870396966385</v>
      </c>
      <c r="G28" s="114">
        <v>670.36902989286159</v>
      </c>
      <c r="H28" s="114">
        <v>410.80255007566609</v>
      </c>
      <c r="I28" s="114">
        <v>422.00928305955944</v>
      </c>
      <c r="J28" s="114">
        <v>378.95212675977581</v>
      </c>
      <c r="K28" s="114">
        <v>94.75279446065305</v>
      </c>
      <c r="L28" s="114">
        <v>355.02161623283655</v>
      </c>
      <c r="M28" s="114">
        <v>360.12645837950021</v>
      </c>
      <c r="N28" s="114">
        <v>123.46194788539466</v>
      </c>
      <c r="O28" s="114">
        <v>284.89387146676103</v>
      </c>
    </row>
    <row r="29" spans="1:15" ht="15" customHeight="1" x14ac:dyDescent="0.2">
      <c r="A29" s="8" t="s">
        <v>26</v>
      </c>
      <c r="B29" s="114">
        <v>275.48914182893515</v>
      </c>
      <c r="C29" s="114">
        <v>519.52740980375518</v>
      </c>
      <c r="D29" s="114">
        <v>343.65675589154978</v>
      </c>
      <c r="E29" s="114">
        <v>328.48090878815566</v>
      </c>
      <c r="F29" s="114">
        <v>299.21918859772762</v>
      </c>
      <c r="G29" s="114">
        <v>270.74570665003711</v>
      </c>
      <c r="H29" s="114">
        <v>346.76153406342905</v>
      </c>
      <c r="I29" s="114">
        <v>407.40910633332146</v>
      </c>
      <c r="J29" s="114">
        <v>308.81232623218079</v>
      </c>
      <c r="K29" s="114">
        <v>129.92651425282901</v>
      </c>
      <c r="L29" s="114">
        <v>278.63468612213762</v>
      </c>
      <c r="M29" s="114">
        <v>319.0727207346614</v>
      </c>
      <c r="N29" s="114">
        <v>160.70070797390369</v>
      </c>
      <c r="O29" s="114">
        <v>277.44420287094169</v>
      </c>
    </row>
    <row r="30" spans="1:15" ht="15" customHeight="1" x14ac:dyDescent="0.2">
      <c r="A30" s="8" t="s">
        <v>27</v>
      </c>
      <c r="B30" s="114">
        <v>292.96141657036736</v>
      </c>
      <c r="C30" s="114">
        <v>411.12375605706399</v>
      </c>
      <c r="D30" s="114">
        <v>335.1576687902982</v>
      </c>
      <c r="E30" s="114">
        <v>327.85276036834398</v>
      </c>
      <c r="F30" s="114">
        <v>286.18684099981328</v>
      </c>
      <c r="G30" s="114">
        <v>299.00224184542446</v>
      </c>
      <c r="H30" s="114">
        <v>335.07305279954187</v>
      </c>
      <c r="I30" s="114">
        <v>337.9641590867584</v>
      </c>
      <c r="J30" s="114">
        <v>302.45529597932449</v>
      </c>
      <c r="K30" s="114">
        <v>169.56533179442897</v>
      </c>
      <c r="L30" s="114">
        <v>163.0660569212354</v>
      </c>
      <c r="M30" s="114">
        <v>293.55882285883723</v>
      </c>
      <c r="N30" s="114">
        <v>190.61869039693008</v>
      </c>
      <c r="O30" s="114">
        <v>273.89742833682476</v>
      </c>
    </row>
    <row r="31" spans="1:15" ht="15" customHeight="1" x14ac:dyDescent="0.2">
      <c r="A31" s="8" t="s">
        <v>28</v>
      </c>
      <c r="B31" s="114">
        <v>324.36391683298092</v>
      </c>
      <c r="C31" s="114">
        <v>381.79450806033748</v>
      </c>
      <c r="D31" s="114">
        <v>348.92178496408519</v>
      </c>
      <c r="E31" s="114">
        <v>370.66249344108473</v>
      </c>
      <c r="F31" s="114">
        <v>295.96820046438961</v>
      </c>
      <c r="G31" s="114">
        <v>221.24461944901236</v>
      </c>
      <c r="H31" s="114">
        <v>332.11821138174685</v>
      </c>
      <c r="I31" s="114">
        <v>312.47370187414248</v>
      </c>
      <c r="J31" s="114">
        <v>315.70850633889097</v>
      </c>
      <c r="K31" s="114">
        <v>139.70961101316689</v>
      </c>
      <c r="L31" s="114">
        <v>414.95754307428638</v>
      </c>
      <c r="M31" s="114">
        <v>309.83364505581949</v>
      </c>
      <c r="N31" s="114">
        <v>173.65617228644425</v>
      </c>
      <c r="O31" s="114">
        <v>280.62561510659106</v>
      </c>
    </row>
    <row r="32" spans="1:15" ht="15" customHeight="1" x14ac:dyDescent="0.2">
      <c r="A32" s="9" t="s">
        <v>369</v>
      </c>
      <c r="B32" s="115">
        <v>309.87108393321756</v>
      </c>
      <c r="C32" s="115">
        <v>351.39051469073178</v>
      </c>
      <c r="D32" s="115">
        <v>327.4501088232696</v>
      </c>
      <c r="E32" s="115">
        <v>331.2194198580832</v>
      </c>
      <c r="F32" s="115">
        <v>273.09243366854753</v>
      </c>
      <c r="G32" s="115">
        <v>240.40395021058458</v>
      </c>
      <c r="H32" s="115">
        <v>303.60396545444866</v>
      </c>
      <c r="I32" s="115">
        <v>266.45228786463133</v>
      </c>
      <c r="J32" s="115">
        <v>290.698009132138</v>
      </c>
      <c r="K32" s="115">
        <v>95.3080936065885</v>
      </c>
      <c r="L32" s="115">
        <v>368.4730671981456</v>
      </c>
      <c r="M32" s="115">
        <v>279.42403754463572</v>
      </c>
      <c r="N32" s="115">
        <v>121.46664487101513</v>
      </c>
      <c r="O32" s="115">
        <v>238.21388860394831</v>
      </c>
    </row>
    <row r="33" spans="1:15" ht="15" customHeight="1" x14ac:dyDescent="0.2">
      <c r="A33" s="9" t="s">
        <v>370</v>
      </c>
      <c r="B33" s="115">
        <v>300.86135589164485</v>
      </c>
      <c r="C33" s="115">
        <v>378.9211648314996</v>
      </c>
      <c r="D33" s="115">
        <v>331.26802723439658</v>
      </c>
      <c r="E33" s="115">
        <v>298.41867926292417</v>
      </c>
      <c r="F33" s="115">
        <v>292.52415793621265</v>
      </c>
      <c r="G33" s="115">
        <v>209.50214438468379</v>
      </c>
      <c r="H33" s="115">
        <v>306.22046067571313</v>
      </c>
      <c r="I33" s="115">
        <v>304.56782281760491</v>
      </c>
      <c r="J33" s="115">
        <v>284.20253704254867</v>
      </c>
      <c r="K33" s="115">
        <v>123.43156717375527</v>
      </c>
      <c r="L33" s="115">
        <v>250.56792088237304</v>
      </c>
      <c r="M33" s="115">
        <v>278.69090874744893</v>
      </c>
      <c r="N33" s="115">
        <v>150.53720931888196</v>
      </c>
      <c r="O33" s="115">
        <v>251.37730405539477</v>
      </c>
    </row>
    <row r="34" spans="1:15" ht="15" customHeight="1" x14ac:dyDescent="0.2">
      <c r="A34" s="9" t="s">
        <v>371</v>
      </c>
      <c r="B34" s="115">
        <v>294.83576836476044</v>
      </c>
      <c r="C34" s="115">
        <v>365.34048719991256</v>
      </c>
      <c r="D34" s="115">
        <v>322.39775880109488</v>
      </c>
      <c r="E34" s="115">
        <v>292.71664837436526</v>
      </c>
      <c r="F34" s="115">
        <v>266.42975333598298</v>
      </c>
      <c r="G34" s="115">
        <v>259.57358288137715</v>
      </c>
      <c r="H34" s="115">
        <v>308.81523984415446</v>
      </c>
      <c r="I34" s="115">
        <v>281.3693358015534</v>
      </c>
      <c r="J34" s="115">
        <v>272.0951922845926</v>
      </c>
      <c r="K34" s="115">
        <v>144.60202962026059</v>
      </c>
      <c r="L34" s="115">
        <v>247.48179293214977</v>
      </c>
      <c r="M34" s="115">
        <v>277.99010764176438</v>
      </c>
      <c r="N34" s="115">
        <v>170.45963966676442</v>
      </c>
      <c r="O34" s="115">
        <v>247.94284803693242</v>
      </c>
    </row>
    <row r="35" spans="1:15" ht="15" customHeight="1" x14ac:dyDescent="0.2">
      <c r="A35" s="9" t="s">
        <v>372</v>
      </c>
      <c r="B35" s="115">
        <v>299.43671732846269</v>
      </c>
      <c r="C35" s="115">
        <v>328.17102973443349</v>
      </c>
      <c r="D35" s="115">
        <v>311.6672861163039</v>
      </c>
      <c r="E35" s="115">
        <v>270.5140995691163</v>
      </c>
      <c r="F35" s="115">
        <v>262.60788559389846</v>
      </c>
      <c r="G35" s="115">
        <v>228.5093000936202</v>
      </c>
      <c r="H35" s="115">
        <v>296.54243603142697</v>
      </c>
      <c r="I35" s="115">
        <v>231.83671467226051</v>
      </c>
      <c r="J35" s="115">
        <v>260.07218149224275</v>
      </c>
      <c r="K35" s="115">
        <v>151.43353619242512</v>
      </c>
      <c r="L35" s="115">
        <v>261.22294685643908</v>
      </c>
      <c r="M35" s="115">
        <v>249.22341609299471</v>
      </c>
      <c r="N35" s="115">
        <v>171.17816050025502</v>
      </c>
      <c r="O35" s="115">
        <v>244.00576809560852</v>
      </c>
    </row>
    <row r="36" spans="1:15" ht="15" customHeight="1" x14ac:dyDescent="0.2">
      <c r="A36" s="8" t="s">
        <v>246</v>
      </c>
      <c r="B36" s="114">
        <v>277.17804147782181</v>
      </c>
      <c r="C36" s="114">
        <v>331.48642983057061</v>
      </c>
      <c r="D36" s="114">
        <v>297.75894240339295</v>
      </c>
      <c r="E36" s="114">
        <v>269.06508328196577</v>
      </c>
      <c r="F36" s="114">
        <v>245.54928765052071</v>
      </c>
      <c r="G36" s="114">
        <v>255.44329946901092</v>
      </c>
      <c r="H36" s="114">
        <v>292.54119108565783</v>
      </c>
      <c r="I36" s="114">
        <v>257.68899604064848</v>
      </c>
      <c r="J36" s="114">
        <v>255.11260442099442</v>
      </c>
      <c r="K36" s="114">
        <v>105.54457880429527</v>
      </c>
      <c r="L36" s="114">
        <v>367.25433513901226</v>
      </c>
      <c r="M36" s="114">
        <v>258.10898316527715</v>
      </c>
      <c r="N36" s="114">
        <v>131.34744721967752</v>
      </c>
      <c r="O36" s="114">
        <v>222.87471263579985</v>
      </c>
    </row>
    <row r="37" spans="1:15" ht="15" customHeight="1" x14ac:dyDescent="0.2">
      <c r="A37" s="8" t="s">
        <v>247</v>
      </c>
      <c r="B37" s="114">
        <v>298.29847637013592</v>
      </c>
      <c r="C37" s="114">
        <v>410.34600364193039</v>
      </c>
      <c r="D37" s="114">
        <v>359.35947311484551</v>
      </c>
      <c r="E37" s="114">
        <v>254.89495413767233</v>
      </c>
      <c r="F37" s="114">
        <v>271.11388134834078</v>
      </c>
      <c r="G37" s="114">
        <v>211.42898150229331</v>
      </c>
      <c r="H37" s="114">
        <v>289.31119539254007</v>
      </c>
      <c r="I37" s="114">
        <v>270.38554746351406</v>
      </c>
      <c r="J37" s="114">
        <v>256.02947049734991</v>
      </c>
      <c r="K37" s="114">
        <v>125.9856401219799</v>
      </c>
      <c r="L37" s="114">
        <v>371.31574396454266</v>
      </c>
      <c r="M37" s="114">
        <v>245.84408152968322</v>
      </c>
      <c r="N37" s="114">
        <v>159.03238835507943</v>
      </c>
      <c r="O37" s="114">
        <v>244.92129830092799</v>
      </c>
    </row>
    <row r="38" spans="1:15" ht="15" customHeight="1" x14ac:dyDescent="0.2">
      <c r="A38" s="8" t="s">
        <v>339</v>
      </c>
      <c r="B38" s="114">
        <v>287.54808328944659</v>
      </c>
      <c r="C38" s="114">
        <v>511.52560951612236</v>
      </c>
      <c r="D38" s="114">
        <v>411.13612347183323</v>
      </c>
      <c r="E38" s="114">
        <v>256.30523860867203</v>
      </c>
      <c r="F38" s="114">
        <v>255.28303839767054</v>
      </c>
      <c r="G38" s="114">
        <v>272.66202922806985</v>
      </c>
      <c r="H38" s="114">
        <v>304.49850422166503</v>
      </c>
      <c r="I38" s="114">
        <v>245.42717467476112</v>
      </c>
      <c r="J38" s="114">
        <v>251.38269947680305</v>
      </c>
      <c r="K38" s="114">
        <v>136.15236797424103</v>
      </c>
      <c r="L38" s="114">
        <v>363.90921134280933</v>
      </c>
      <c r="M38" s="114">
        <v>250.82090035421157</v>
      </c>
      <c r="N38" s="114">
        <v>173.40745113536039</v>
      </c>
      <c r="O38" s="114">
        <v>253.1189727785756</v>
      </c>
    </row>
    <row r="39" spans="1:15" ht="15" customHeight="1" x14ac:dyDescent="0.2">
      <c r="A39" s="8" t="s">
        <v>340</v>
      </c>
      <c r="B39" s="114">
        <v>289.80009867028213</v>
      </c>
      <c r="C39" s="114">
        <v>494.97586882050848</v>
      </c>
      <c r="D39" s="114">
        <v>402.73260569909769</v>
      </c>
      <c r="E39" s="114">
        <v>256.09884935865819</v>
      </c>
      <c r="F39" s="114">
        <v>258.77132950888324</v>
      </c>
      <c r="G39" s="114">
        <v>189.04211806304943</v>
      </c>
      <c r="H39" s="114">
        <v>314.66818889792074</v>
      </c>
      <c r="I39" s="114">
        <v>271.99921563492364</v>
      </c>
      <c r="J39" s="114">
        <v>250.63110672577821</v>
      </c>
      <c r="K39" s="114">
        <v>143.42050756569162</v>
      </c>
      <c r="L39" s="114">
        <v>373.18790644827618</v>
      </c>
      <c r="M39" s="114">
        <v>259.27100809773293</v>
      </c>
      <c r="N39" s="114">
        <v>183.11682672820137</v>
      </c>
      <c r="O39" s="114">
        <v>260.07228373088623</v>
      </c>
    </row>
    <row r="40" spans="1:15" ht="15" customHeight="1" x14ac:dyDescent="0.2">
      <c r="A40" s="9" t="s">
        <v>384</v>
      </c>
      <c r="B40" s="115">
        <v>295.65330101117064</v>
      </c>
      <c r="C40" s="115">
        <v>327.14206625963925</v>
      </c>
      <c r="D40" s="115">
        <v>315.31768685847095</v>
      </c>
      <c r="E40" s="115">
        <v>316.44710068895614</v>
      </c>
      <c r="F40" s="115">
        <v>247.29248847786681</v>
      </c>
      <c r="G40" s="115">
        <v>284.16235051570607</v>
      </c>
      <c r="H40" s="115">
        <v>304.16200668356464</v>
      </c>
      <c r="I40" s="115">
        <v>301.85397330216693</v>
      </c>
      <c r="J40" s="115">
        <v>272.6308187994199</v>
      </c>
      <c r="K40" s="115">
        <v>94.09542298432207</v>
      </c>
      <c r="L40" s="115">
        <v>390.17676356110843</v>
      </c>
      <c r="M40" s="115">
        <v>252.49262836737677</v>
      </c>
      <c r="N40" s="115">
        <v>128.82519595488051</v>
      </c>
      <c r="O40" s="115">
        <v>230.27883741242903</v>
      </c>
    </row>
    <row r="41" spans="1:15" ht="15" customHeight="1" x14ac:dyDescent="0.2">
      <c r="A41" s="8"/>
      <c r="B41" s="120"/>
      <c r="C41" s="120"/>
      <c r="D41" s="120"/>
      <c r="E41" s="120"/>
      <c r="F41" s="120"/>
      <c r="G41" s="120"/>
      <c r="H41" s="120"/>
      <c r="I41" s="120"/>
      <c r="J41" s="120"/>
      <c r="K41" s="120"/>
      <c r="L41" s="120"/>
      <c r="M41" s="120"/>
      <c r="N41" s="120"/>
      <c r="O41" s="120"/>
    </row>
    <row r="42" spans="1:15" ht="15" customHeight="1" x14ac:dyDescent="0.2">
      <c r="A42" s="10">
        <v>43831</v>
      </c>
      <c r="B42" s="12">
        <v>139.77918011461148</v>
      </c>
      <c r="C42" s="12">
        <v>205.94755967487615</v>
      </c>
      <c r="D42" s="12">
        <v>173.37439275188277</v>
      </c>
      <c r="E42" s="12">
        <v>144.03887973886432</v>
      </c>
      <c r="F42" s="12">
        <v>167.71296104700477</v>
      </c>
      <c r="G42" s="12">
        <v>121.09797107994935</v>
      </c>
      <c r="H42" s="12">
        <v>155.06109235673227</v>
      </c>
      <c r="I42" s="12">
        <v>135.87094399496752</v>
      </c>
      <c r="J42" s="12">
        <v>146.38793599266629</v>
      </c>
      <c r="K42" s="12">
        <v>108.30757775772956</v>
      </c>
      <c r="L42" s="12">
        <v>180.9700323943915</v>
      </c>
      <c r="M42" s="12">
        <v>141.36176976357251</v>
      </c>
      <c r="N42" s="12">
        <v>121.96352731610153</v>
      </c>
      <c r="O42" s="12">
        <v>143.95230669711603</v>
      </c>
    </row>
    <row r="43" spans="1:15" ht="15" customHeight="1" x14ac:dyDescent="0.2">
      <c r="A43" s="10">
        <v>43862</v>
      </c>
      <c r="B43" s="12">
        <v>156.87837801726857</v>
      </c>
      <c r="C43" s="12">
        <v>199.43823425305007</v>
      </c>
      <c r="D43" s="12">
        <v>179.25544460685296</v>
      </c>
      <c r="E43" s="12">
        <v>130.35186898336275</v>
      </c>
      <c r="F43" s="12">
        <v>162.56105005852399</v>
      </c>
      <c r="G43" s="12">
        <v>121.71409879852114</v>
      </c>
      <c r="H43" s="12">
        <v>148.03628778650838</v>
      </c>
      <c r="I43" s="12">
        <v>156.27422991723085</v>
      </c>
      <c r="J43" s="12">
        <v>136.73807221098556</v>
      </c>
      <c r="K43" s="12">
        <v>114.11673489356322</v>
      </c>
      <c r="L43" s="12">
        <v>189.3481414025909</v>
      </c>
      <c r="M43" s="12">
        <v>149.91610869104511</v>
      </c>
      <c r="N43" s="12">
        <v>129.3035575996623</v>
      </c>
      <c r="O43" s="12">
        <v>142.58761585344374</v>
      </c>
    </row>
    <row r="44" spans="1:15" ht="15" customHeight="1" x14ac:dyDescent="0.2">
      <c r="A44" s="10">
        <v>43891</v>
      </c>
      <c r="B44" s="12">
        <v>146.96273504836236</v>
      </c>
      <c r="C44" s="12">
        <v>212.4545045297408</v>
      </c>
      <c r="D44" s="12">
        <v>171.51797216962945</v>
      </c>
      <c r="E44" s="12">
        <v>94.424735951867362</v>
      </c>
      <c r="F44" s="12">
        <v>174.20907906046935</v>
      </c>
      <c r="G44" s="12">
        <v>110.19245028480687</v>
      </c>
      <c r="H44" s="12">
        <v>155.75499417717688</v>
      </c>
      <c r="I44" s="12">
        <v>174.99821961472352</v>
      </c>
      <c r="J44" s="12">
        <v>124.93302961451795</v>
      </c>
      <c r="K44" s="12">
        <v>77.686434865042344</v>
      </c>
      <c r="L44" s="12">
        <v>165.65777293836982</v>
      </c>
      <c r="M44" s="12">
        <v>152.70675895894973</v>
      </c>
      <c r="N44" s="12">
        <v>100.47553847962753</v>
      </c>
      <c r="O44" s="12">
        <v>126.65253717535325</v>
      </c>
    </row>
    <row r="45" spans="1:15" ht="15" customHeight="1" x14ac:dyDescent="0.2">
      <c r="A45" s="10">
        <v>43922</v>
      </c>
      <c r="B45" s="12">
        <v>165.17980352440671</v>
      </c>
      <c r="C45" s="12">
        <v>196.98262535302078</v>
      </c>
      <c r="D45" s="12">
        <v>181.20302231870414</v>
      </c>
      <c r="E45" s="12">
        <v>71.172612915180423</v>
      </c>
      <c r="F45" s="12">
        <v>170.45199619080515</v>
      </c>
      <c r="G45" s="12">
        <v>134.68627192769088</v>
      </c>
      <c r="H45" s="12">
        <v>164.86992199486403</v>
      </c>
      <c r="I45" s="12">
        <v>184.26815741332103</v>
      </c>
      <c r="J45" s="12">
        <v>120.96657826284083</v>
      </c>
      <c r="K45" s="12">
        <v>103.11827489584671</v>
      </c>
      <c r="L45" s="12">
        <v>227.3119698064956</v>
      </c>
      <c r="M45" s="12">
        <v>129.882638763057</v>
      </c>
      <c r="N45" s="12">
        <v>130.54302190154496</v>
      </c>
      <c r="O45" s="12">
        <v>135.35950157539881</v>
      </c>
    </row>
    <row r="46" spans="1:15" ht="15" customHeight="1" x14ac:dyDescent="0.2">
      <c r="A46" s="10">
        <v>43952</v>
      </c>
      <c r="B46" s="12">
        <v>161.14820448685475</v>
      </c>
      <c r="C46" s="12">
        <v>182.69696677766461</v>
      </c>
      <c r="D46" s="12">
        <v>172.06847726662505</v>
      </c>
      <c r="E46" s="12">
        <v>65.568293619450301</v>
      </c>
      <c r="F46" s="12">
        <v>174.64288351858522</v>
      </c>
      <c r="G46" s="12">
        <v>138.8462687888281</v>
      </c>
      <c r="H46" s="12">
        <v>174.71430668070764</v>
      </c>
      <c r="I46" s="12">
        <v>178.1979153212132</v>
      </c>
      <c r="J46" s="12">
        <v>133.51552146673208</v>
      </c>
      <c r="K46" s="12">
        <v>144.71192686165185</v>
      </c>
      <c r="L46" s="12">
        <v>196.92104361051327</v>
      </c>
      <c r="M46" s="12">
        <v>146.98286750651479</v>
      </c>
      <c r="N46" s="12">
        <v>149.32746930471529</v>
      </c>
      <c r="O46" s="12">
        <v>146.31727310813227</v>
      </c>
    </row>
    <row r="47" spans="1:15" ht="15" customHeight="1" x14ac:dyDescent="0.2">
      <c r="A47" s="10">
        <v>43983</v>
      </c>
      <c r="B47" s="12">
        <v>149.66410914347117</v>
      </c>
      <c r="C47" s="12">
        <v>217.48090818141549</v>
      </c>
      <c r="D47" s="12">
        <v>183.45951644419452</v>
      </c>
      <c r="E47" s="12">
        <v>91.398161494055941</v>
      </c>
      <c r="F47" s="12">
        <v>183.5753849293817</v>
      </c>
      <c r="G47" s="12">
        <v>105.35859034111108</v>
      </c>
      <c r="H47" s="12">
        <v>176.82361452278701</v>
      </c>
      <c r="I47" s="12">
        <v>178.10223889657249</v>
      </c>
      <c r="J47" s="12">
        <v>138.15526321433097</v>
      </c>
      <c r="K47" s="12">
        <v>81.899847897183079</v>
      </c>
      <c r="L47" s="12">
        <v>186.43856886556759</v>
      </c>
      <c r="M47" s="12">
        <v>143.03069751116493</v>
      </c>
      <c r="N47" s="12">
        <v>99.4578691948726</v>
      </c>
      <c r="O47" s="12">
        <v>134.13847187216064</v>
      </c>
    </row>
    <row r="48" spans="1:15" ht="15" customHeight="1" x14ac:dyDescent="0.2">
      <c r="A48" s="10">
        <v>44013</v>
      </c>
      <c r="B48" s="12">
        <v>153.9447529584742</v>
      </c>
      <c r="C48" s="12">
        <v>213.89202032729727</v>
      </c>
      <c r="D48" s="12">
        <v>182.02302521708648</v>
      </c>
      <c r="E48" s="12">
        <v>96.533528657406663</v>
      </c>
      <c r="F48" s="12">
        <v>171.12720757777009</v>
      </c>
      <c r="G48" s="12">
        <v>127.89226683499417</v>
      </c>
      <c r="H48" s="12">
        <v>164.47238301699466</v>
      </c>
      <c r="I48" s="12">
        <v>174.7606162758739</v>
      </c>
      <c r="J48" s="12">
        <v>129.79521207866023</v>
      </c>
      <c r="K48" s="12">
        <v>112.80683227665969</v>
      </c>
      <c r="L48" s="12">
        <v>187.09243171050892</v>
      </c>
      <c r="M48" s="12">
        <v>136.60346922028165</v>
      </c>
      <c r="N48" s="12">
        <v>123.60235767679531</v>
      </c>
      <c r="O48" s="12">
        <v>137.25508782871262</v>
      </c>
    </row>
    <row r="49" spans="1:15" ht="15" customHeight="1" x14ac:dyDescent="0.2">
      <c r="A49" s="10">
        <v>44044</v>
      </c>
      <c r="B49" s="12">
        <v>149.86842459130699</v>
      </c>
      <c r="C49" s="12">
        <v>214.78256601155766</v>
      </c>
      <c r="D49" s="12">
        <v>178.8225630561582</v>
      </c>
      <c r="E49" s="12">
        <v>94.368710912868593</v>
      </c>
      <c r="F49" s="12">
        <v>170.63010115367871</v>
      </c>
      <c r="G49" s="12">
        <v>113.15059602772615</v>
      </c>
      <c r="H49" s="12">
        <v>164.57255750063806</v>
      </c>
      <c r="I49" s="12">
        <v>167.31971674219784</v>
      </c>
      <c r="J49" s="12">
        <v>125.30939170179013</v>
      </c>
      <c r="K49" s="12">
        <v>97.483228848404863</v>
      </c>
      <c r="L49" s="12">
        <v>172.13698004448298</v>
      </c>
      <c r="M49" s="12">
        <v>130.72757995256649</v>
      </c>
      <c r="N49" s="12">
        <v>107.39750178644567</v>
      </c>
      <c r="O49" s="12">
        <v>127.66017197417673</v>
      </c>
    </row>
    <row r="50" spans="1:15" ht="15" customHeight="1" x14ac:dyDescent="0.2">
      <c r="A50" s="10">
        <v>44075</v>
      </c>
      <c r="B50" s="12">
        <v>140.40874637602684</v>
      </c>
      <c r="C50" s="12">
        <v>204.48049473882213</v>
      </c>
      <c r="D50" s="12">
        <v>168.37769819618686</v>
      </c>
      <c r="E50" s="12">
        <v>94.609864675042147</v>
      </c>
      <c r="F50" s="12">
        <v>150.71847211737605</v>
      </c>
      <c r="G50" s="12">
        <v>108.97378392464687</v>
      </c>
      <c r="H50" s="12">
        <v>167.28002965812681</v>
      </c>
      <c r="I50" s="12">
        <v>167.87471258846651</v>
      </c>
      <c r="J50" s="12">
        <v>125.45244573392146</v>
      </c>
      <c r="K50" s="12">
        <v>108.74397992822298</v>
      </c>
      <c r="L50" s="12">
        <v>210.22134725337486</v>
      </c>
      <c r="M50" s="12">
        <v>131.09063871640899</v>
      </c>
      <c r="N50" s="12">
        <v>117.32313590135313</v>
      </c>
      <c r="O50" s="12">
        <v>129.06839395835493</v>
      </c>
    </row>
    <row r="51" spans="1:15" ht="15" customHeight="1" x14ac:dyDescent="0.2">
      <c r="A51" s="10">
        <v>44105</v>
      </c>
      <c r="B51" s="12">
        <v>147.56766432685947</v>
      </c>
      <c r="C51" s="12">
        <v>191.13661422820547</v>
      </c>
      <c r="D51" s="12">
        <v>167.05417840623477</v>
      </c>
      <c r="E51" s="12">
        <v>96.325983979959275</v>
      </c>
      <c r="F51" s="12">
        <v>163.95902953238314</v>
      </c>
      <c r="G51" s="12">
        <v>99.780962697144872</v>
      </c>
      <c r="H51" s="12">
        <v>171.36044610674873</v>
      </c>
      <c r="I51" s="12">
        <v>143.90236070488137</v>
      </c>
      <c r="J51" s="12">
        <v>126.89954315976546</v>
      </c>
      <c r="K51" s="12">
        <v>67.162573515420561</v>
      </c>
      <c r="L51" s="12">
        <v>200.73447862575389</v>
      </c>
      <c r="M51" s="12">
        <v>122.00309832270599</v>
      </c>
      <c r="N51" s="12">
        <v>82.508914123704471</v>
      </c>
      <c r="O51" s="12">
        <v>118.39477667068206</v>
      </c>
    </row>
    <row r="52" spans="1:15" ht="15" customHeight="1" x14ac:dyDescent="0.2">
      <c r="A52" s="10">
        <v>44136</v>
      </c>
      <c r="B52" s="12">
        <v>152.11746446491853</v>
      </c>
      <c r="C52" s="12">
        <v>196.17251456913093</v>
      </c>
      <c r="D52" s="12">
        <v>171.89791738747033</v>
      </c>
      <c r="E52" s="12">
        <v>100.60202137152299</v>
      </c>
      <c r="F52" s="12">
        <v>158.36775081106126</v>
      </c>
      <c r="G52" s="12">
        <v>107.1841258833262</v>
      </c>
      <c r="H52" s="12">
        <v>176.09544272845946</v>
      </c>
      <c r="I52" s="12">
        <v>186.0843923560887</v>
      </c>
      <c r="J52" s="12">
        <v>133.10068693215572</v>
      </c>
      <c r="K52" s="12">
        <v>112.76119438943522</v>
      </c>
      <c r="L52" s="12">
        <v>179.32899251899391</v>
      </c>
      <c r="M52" s="12">
        <v>153.43362345553641</v>
      </c>
      <c r="N52" s="12">
        <v>125.83480693814857</v>
      </c>
      <c r="O52" s="12">
        <v>137.08781932150677</v>
      </c>
    </row>
    <row r="53" spans="1:15" ht="15" customHeight="1" x14ac:dyDescent="0.2">
      <c r="A53" s="10">
        <v>44166</v>
      </c>
      <c r="B53" s="12">
        <v>156.19429010963799</v>
      </c>
      <c r="C53" s="12">
        <v>224.03784832588568</v>
      </c>
      <c r="D53" s="12">
        <v>185.23360832704088</v>
      </c>
      <c r="E53" s="12">
        <v>115.98230664805816</v>
      </c>
      <c r="F53" s="12">
        <v>167.01688075377618</v>
      </c>
      <c r="G53" s="12">
        <v>87.204966531905413</v>
      </c>
      <c r="H53" s="12">
        <v>175.34651789898004</v>
      </c>
      <c r="I53" s="12">
        <v>181.70216559330572</v>
      </c>
      <c r="J53" s="12">
        <v>140.94449469096492</v>
      </c>
      <c r="K53" s="12">
        <v>112.54073627093643</v>
      </c>
      <c r="L53" s="12">
        <v>168.41181523360419</v>
      </c>
      <c r="M53" s="12">
        <v>148.71799608069617</v>
      </c>
      <c r="N53" s="12">
        <v>124.10426766200955</v>
      </c>
      <c r="O53" s="12">
        <v>144.1781859565711</v>
      </c>
    </row>
    <row r="54" spans="1:15" ht="15" customHeight="1" x14ac:dyDescent="0.2">
      <c r="A54" s="11">
        <v>44197</v>
      </c>
      <c r="B54" s="120">
        <v>152.84610414337018</v>
      </c>
      <c r="C54" s="120">
        <v>223.99421126560722</v>
      </c>
      <c r="D54" s="120">
        <v>179.54025256088124</v>
      </c>
      <c r="E54" s="120">
        <v>121.93699150362922</v>
      </c>
      <c r="F54" s="120">
        <v>171.97595291699511</v>
      </c>
      <c r="G54" s="120">
        <v>139.67137640148437</v>
      </c>
      <c r="H54" s="120">
        <v>178.23769805141424</v>
      </c>
      <c r="I54" s="120">
        <v>168.15820996820753</v>
      </c>
      <c r="J54" s="120">
        <v>144.61620392660984</v>
      </c>
      <c r="K54" s="120">
        <v>108.11114563472226</v>
      </c>
      <c r="L54" s="120">
        <v>177.56980656946925</v>
      </c>
      <c r="M54" s="120">
        <v>151.13771697462451</v>
      </c>
      <c r="N54" s="120">
        <v>120.91576584805046</v>
      </c>
      <c r="O54" s="120">
        <v>144.722320543546</v>
      </c>
    </row>
    <row r="55" spans="1:15" ht="15" customHeight="1" x14ac:dyDescent="0.2">
      <c r="A55" s="11">
        <v>44228</v>
      </c>
      <c r="B55" s="120">
        <v>170.09536792931505</v>
      </c>
      <c r="C55" s="120">
        <v>225.10755550131125</v>
      </c>
      <c r="D55" s="120">
        <v>194.67919683787059</v>
      </c>
      <c r="E55" s="120">
        <v>136.57448865114455</v>
      </c>
      <c r="F55" s="120">
        <v>170.98049211847493</v>
      </c>
      <c r="G55" s="120">
        <v>134.46454944954021</v>
      </c>
      <c r="H55" s="120">
        <v>188.35723233573086</v>
      </c>
      <c r="I55" s="120">
        <v>191.70352259583942</v>
      </c>
      <c r="J55" s="120">
        <v>155.51406145886628</v>
      </c>
      <c r="K55" s="120">
        <v>115.24300623282737</v>
      </c>
      <c r="L55" s="120">
        <v>198.29296890515585</v>
      </c>
      <c r="M55" s="120">
        <v>152.33700094883173</v>
      </c>
      <c r="N55" s="120">
        <v>128.02844806318407</v>
      </c>
      <c r="O55" s="120">
        <v>154.59982725569697</v>
      </c>
    </row>
    <row r="56" spans="1:15" ht="15" customHeight="1" x14ac:dyDescent="0.2">
      <c r="A56" s="11">
        <v>44256</v>
      </c>
      <c r="B56" s="120">
        <v>164.5726123436724</v>
      </c>
      <c r="C56" s="120">
        <v>255.06207394902393</v>
      </c>
      <c r="D56" s="120">
        <v>200.08693728889065</v>
      </c>
      <c r="E56" s="120">
        <v>151.86324752064934</v>
      </c>
      <c r="F56" s="120">
        <v>180.49304883849936</v>
      </c>
      <c r="G56" s="120">
        <v>120.29685572233637</v>
      </c>
      <c r="H56" s="120">
        <v>189.94456210602434</v>
      </c>
      <c r="I56" s="120">
        <v>209.24651913833347</v>
      </c>
      <c r="J56" s="120">
        <v>166.13650124934296</v>
      </c>
      <c r="K56" s="120">
        <v>88.689143535858051</v>
      </c>
      <c r="L56" s="120">
        <v>259.97264384331419</v>
      </c>
      <c r="M56" s="120">
        <v>166.45107901451226</v>
      </c>
      <c r="N56" s="120">
        <v>107.51582903943581</v>
      </c>
      <c r="O56" s="120">
        <v>153.21452426081811</v>
      </c>
    </row>
    <row r="57" spans="1:15" ht="15" customHeight="1" x14ac:dyDescent="0.2">
      <c r="A57" s="11">
        <v>44287</v>
      </c>
      <c r="B57" s="120">
        <v>165.58128685094638</v>
      </c>
      <c r="C57" s="120">
        <v>239.33600590386141</v>
      </c>
      <c r="D57" s="120">
        <v>199.86238662483549</v>
      </c>
      <c r="E57" s="120">
        <v>147.09548930489706</v>
      </c>
      <c r="F57" s="120">
        <v>182.87702311530651</v>
      </c>
      <c r="G57" s="120">
        <v>138.06780802734065</v>
      </c>
      <c r="H57" s="120">
        <v>203.10556728897384</v>
      </c>
      <c r="I57" s="120">
        <v>206.57568344002169</v>
      </c>
      <c r="J57" s="120">
        <v>165.10305190420416</v>
      </c>
      <c r="K57" s="120">
        <v>84.709060032708194</v>
      </c>
      <c r="L57" s="120">
        <v>210.73054892445558</v>
      </c>
      <c r="M57" s="120">
        <v>159.85744387916381</v>
      </c>
      <c r="N57" s="120">
        <v>102.84255552903556</v>
      </c>
      <c r="O57" s="120">
        <v>150.55452220689787</v>
      </c>
    </row>
    <row r="58" spans="1:15" ht="15" customHeight="1" x14ac:dyDescent="0.2">
      <c r="A58" s="11">
        <v>44317</v>
      </c>
      <c r="B58" s="120">
        <v>181.30687878153441</v>
      </c>
      <c r="C58" s="120">
        <v>217.90894078439337</v>
      </c>
      <c r="D58" s="120">
        <v>198.76116056243299</v>
      </c>
      <c r="E58" s="120">
        <v>153.37302562599154</v>
      </c>
      <c r="F58" s="120">
        <v>184.94087893025861</v>
      </c>
      <c r="G58" s="120">
        <v>164.10580383736405</v>
      </c>
      <c r="H58" s="120">
        <v>217.28116907651076</v>
      </c>
      <c r="I58" s="120">
        <v>207.40085067081696</v>
      </c>
      <c r="J58" s="120">
        <v>171.66212429369864</v>
      </c>
      <c r="K58" s="120">
        <v>145.91262481836355</v>
      </c>
      <c r="L58" s="120">
        <v>244.96056335695707</v>
      </c>
      <c r="M58" s="120">
        <v>170.55731149585472</v>
      </c>
      <c r="N58" s="120">
        <v>158.29194308235427</v>
      </c>
      <c r="O58" s="120">
        <v>172.60803874301928</v>
      </c>
    </row>
    <row r="59" spans="1:15" ht="15" customHeight="1" x14ac:dyDescent="0.2">
      <c r="A59" s="11">
        <v>44348</v>
      </c>
      <c r="B59" s="120">
        <v>182.75349396261421</v>
      </c>
      <c r="C59" s="120">
        <v>242.27302895568695</v>
      </c>
      <c r="D59" s="120">
        <v>212.40406993667591</v>
      </c>
      <c r="E59" s="120">
        <v>160.06002456197837</v>
      </c>
      <c r="F59" s="120">
        <v>183.83395105003345</v>
      </c>
      <c r="G59" s="120">
        <v>135.25265642848069</v>
      </c>
      <c r="H59" s="120">
        <v>208.7998814293328</v>
      </c>
      <c r="I59" s="120">
        <v>187.75907193158895</v>
      </c>
      <c r="J59" s="120">
        <v>182.69821927151412</v>
      </c>
      <c r="K59" s="120">
        <v>135.54885607334728</v>
      </c>
      <c r="L59" s="120">
        <v>228.33260704211912</v>
      </c>
      <c r="M59" s="120">
        <v>174.60580262961696</v>
      </c>
      <c r="N59" s="120">
        <v>151.35957100087671</v>
      </c>
      <c r="O59" s="120">
        <v>178.90376228668899</v>
      </c>
    </row>
    <row r="60" spans="1:15" ht="15" customHeight="1" x14ac:dyDescent="0.2">
      <c r="A60" s="11">
        <v>44378</v>
      </c>
      <c r="B60" s="120">
        <v>218.96824197550703</v>
      </c>
      <c r="C60" s="120">
        <v>256.44384667107602</v>
      </c>
      <c r="D60" s="120">
        <v>242.18342475921756</v>
      </c>
      <c r="E60" s="120">
        <v>166.34931668719247</v>
      </c>
      <c r="F60" s="120">
        <v>200.61364932681767</v>
      </c>
      <c r="G60" s="120">
        <v>191.60814884428132</v>
      </c>
      <c r="H60" s="120">
        <v>212.25222554850518</v>
      </c>
      <c r="I60" s="120">
        <v>178.42352201922083</v>
      </c>
      <c r="J60" s="120">
        <v>185.96785519011669</v>
      </c>
      <c r="K60" s="120">
        <v>103.87969908390463</v>
      </c>
      <c r="L60" s="120">
        <v>301.32078577819402</v>
      </c>
      <c r="M60" s="120">
        <v>186.74743740812664</v>
      </c>
      <c r="N60" s="120">
        <v>129.99623463150851</v>
      </c>
      <c r="O60" s="120">
        <v>177.3094858090935</v>
      </c>
    </row>
    <row r="61" spans="1:15" ht="15" customHeight="1" x14ac:dyDescent="0.2">
      <c r="A61" s="11">
        <v>44409</v>
      </c>
      <c r="B61" s="120">
        <v>197.55193194158764</v>
      </c>
      <c r="C61" s="120">
        <v>268.91845559834252</v>
      </c>
      <c r="D61" s="120">
        <v>237.40445642957795</v>
      </c>
      <c r="E61" s="120">
        <v>167.71833819549548</v>
      </c>
      <c r="F61" s="120">
        <v>202.63143705200156</v>
      </c>
      <c r="G61" s="120">
        <v>172.36809801003358</v>
      </c>
      <c r="H61" s="120">
        <v>220.75320273756822</v>
      </c>
      <c r="I61" s="120">
        <v>227.58094155589538</v>
      </c>
      <c r="J61" s="120">
        <v>180.48348546661822</v>
      </c>
      <c r="K61" s="120">
        <v>113.28041227115992</v>
      </c>
      <c r="L61" s="120">
        <v>232.96716217327722</v>
      </c>
      <c r="M61" s="120">
        <v>168.05849688944355</v>
      </c>
      <c r="N61" s="120">
        <v>130.89418688383273</v>
      </c>
      <c r="O61" s="120">
        <v>174.81014523810722</v>
      </c>
    </row>
    <row r="62" spans="1:15" ht="15" customHeight="1" x14ac:dyDescent="0.2">
      <c r="A62" s="11">
        <v>44440</v>
      </c>
      <c r="B62" s="120">
        <v>206.25847452746333</v>
      </c>
      <c r="C62" s="120">
        <v>277.44557066797489</v>
      </c>
      <c r="D62" s="120">
        <v>247.29731358831154</v>
      </c>
      <c r="E62" s="120">
        <v>183.58181240895721</v>
      </c>
      <c r="F62" s="120">
        <v>215.54905560589629</v>
      </c>
      <c r="G62" s="120">
        <v>259.20538864251677</v>
      </c>
      <c r="H62" s="120">
        <v>218.30403896254734</v>
      </c>
      <c r="I62" s="120">
        <v>177.68551832887113</v>
      </c>
      <c r="J62" s="120">
        <v>195.08207553189217</v>
      </c>
      <c r="K62" s="120">
        <v>97.907038315690471</v>
      </c>
      <c r="L62" s="120">
        <v>320.13494534769927</v>
      </c>
      <c r="M62" s="120">
        <v>168.65153608362928</v>
      </c>
      <c r="N62" s="120">
        <v>121.16433578517896</v>
      </c>
      <c r="O62" s="120">
        <v>176.81073960908725</v>
      </c>
    </row>
    <row r="63" spans="1:15" ht="15" customHeight="1" x14ac:dyDescent="0.2">
      <c r="A63" s="11">
        <v>44470</v>
      </c>
      <c r="B63" s="120">
        <v>205.52323826820765</v>
      </c>
      <c r="C63" s="120">
        <v>258.43836417674635</v>
      </c>
      <c r="D63" s="120">
        <v>233.3223562275752</v>
      </c>
      <c r="E63" s="120">
        <v>202.61669412899303</v>
      </c>
      <c r="F63" s="120">
        <v>217.86219975296302</v>
      </c>
      <c r="G63" s="120">
        <v>189.69560556480354</v>
      </c>
      <c r="H63" s="120">
        <v>199.37713522102152</v>
      </c>
      <c r="I63" s="120">
        <v>242.57794264550583</v>
      </c>
      <c r="J63" s="120">
        <v>205.1801185301494</v>
      </c>
      <c r="K63" s="120">
        <v>63.291348465215812</v>
      </c>
      <c r="L63" s="120">
        <v>204.53555356273628</v>
      </c>
      <c r="M63" s="120">
        <v>196.61268103137743</v>
      </c>
      <c r="N63" s="120">
        <v>84.731129108019871</v>
      </c>
      <c r="O63" s="120">
        <v>163.10286985179209</v>
      </c>
    </row>
    <row r="64" spans="1:15" ht="15" customHeight="1" x14ac:dyDescent="0.2">
      <c r="A64" s="11">
        <v>44501</v>
      </c>
      <c r="B64" s="120">
        <v>172.76781726682989</v>
      </c>
      <c r="C64" s="120">
        <v>278.45428230172098</v>
      </c>
      <c r="D64" s="120">
        <v>218.93723496497256</v>
      </c>
      <c r="E64" s="120">
        <v>177.33208762790667</v>
      </c>
      <c r="F64" s="120">
        <v>211.02193264606223</v>
      </c>
      <c r="G64" s="120">
        <v>212.56841623123358</v>
      </c>
      <c r="H64" s="120">
        <v>217.86568908488672</v>
      </c>
      <c r="I64" s="120">
        <v>250.51749923534382</v>
      </c>
      <c r="J64" s="120">
        <v>193.80420815224534</v>
      </c>
      <c r="K64" s="120">
        <v>117.37701267318556</v>
      </c>
      <c r="L64" s="120">
        <v>419.76956759541696</v>
      </c>
      <c r="M64" s="120">
        <v>194.05420655640523</v>
      </c>
      <c r="N64" s="120">
        <v>150.31267823968122</v>
      </c>
      <c r="O64" s="120">
        <v>185.15019433489411</v>
      </c>
    </row>
    <row r="65" spans="1:15" ht="15" customHeight="1" x14ac:dyDescent="0.2">
      <c r="A65" s="11">
        <v>44531</v>
      </c>
      <c r="B65" s="120">
        <v>157.02882767377181</v>
      </c>
      <c r="C65" s="120">
        <v>312.45008406114141</v>
      </c>
      <c r="D65" s="120">
        <v>222.51349917521628</v>
      </c>
      <c r="E65" s="120">
        <v>193.51338251802696</v>
      </c>
      <c r="F65" s="120">
        <v>204.85379395198734</v>
      </c>
      <c r="G65" s="120">
        <v>198.77883060302466</v>
      </c>
      <c r="H65" s="120">
        <v>213.87496285291942</v>
      </c>
      <c r="I65" s="120">
        <v>194.94990857587271</v>
      </c>
      <c r="J65" s="120">
        <v>188.19073816174551</v>
      </c>
      <c r="K65" s="120">
        <v>114.40122191128255</v>
      </c>
      <c r="L65" s="120">
        <v>183.671373646603</v>
      </c>
      <c r="M65" s="120">
        <v>186.16473411436661</v>
      </c>
      <c r="N65" s="120">
        <v>130.49382156450139</v>
      </c>
      <c r="O65" s="120">
        <v>177.48947278819122</v>
      </c>
    </row>
    <row r="66" spans="1:15" ht="15" customHeight="1" x14ac:dyDescent="0.2">
      <c r="A66" s="10">
        <v>44562</v>
      </c>
      <c r="B66" s="12">
        <v>160.84907890704301</v>
      </c>
      <c r="C66" s="12">
        <v>277.74325132154797</v>
      </c>
      <c r="D66" s="12">
        <v>201.57321544254998</v>
      </c>
      <c r="E66" s="12">
        <v>208.36858392798769</v>
      </c>
      <c r="F66" s="12">
        <v>219.01609402770842</v>
      </c>
      <c r="G66" s="12">
        <v>235.38779043029473</v>
      </c>
      <c r="H66" s="12">
        <v>216.35666410794389</v>
      </c>
      <c r="I66" s="12">
        <v>226.49043944092276</v>
      </c>
      <c r="J66" s="12">
        <v>204.42574823246838</v>
      </c>
      <c r="K66" s="12">
        <v>109.77172999425039</v>
      </c>
      <c r="L66" s="12">
        <v>226.83826528117979</v>
      </c>
      <c r="M66" s="12">
        <v>203.47583091455616</v>
      </c>
      <c r="N66" s="12">
        <v>132.71081871947598</v>
      </c>
      <c r="O66" s="12">
        <v>184.18385800126691</v>
      </c>
    </row>
    <row r="67" spans="1:15" ht="15" customHeight="1" x14ac:dyDescent="0.2">
      <c r="A67" s="10">
        <v>44593</v>
      </c>
      <c r="B67" s="12">
        <v>177.89954764981209</v>
      </c>
      <c r="C67" s="12">
        <v>253.28558144226611</v>
      </c>
      <c r="D67" s="12">
        <v>206.10147341868714</v>
      </c>
      <c r="E67" s="12">
        <v>229.3833315702463</v>
      </c>
      <c r="F67" s="12">
        <v>204.77183744609738</v>
      </c>
      <c r="G67" s="12">
        <v>400.83762452611609</v>
      </c>
      <c r="H67" s="12">
        <v>233.34307908090244</v>
      </c>
      <c r="I67" s="12">
        <v>249.81761134811649</v>
      </c>
      <c r="J67" s="12">
        <v>214.05535786143929</v>
      </c>
      <c r="K67" s="12">
        <v>97.785474769931696</v>
      </c>
      <c r="L67" s="12">
        <v>136.74332550327358</v>
      </c>
      <c r="M67" s="12">
        <v>209.94181442712184</v>
      </c>
      <c r="N67" s="12">
        <v>120.15891544570243</v>
      </c>
      <c r="O67" s="12">
        <v>185.60587786849092</v>
      </c>
    </row>
    <row r="68" spans="1:15" ht="15" customHeight="1" x14ac:dyDescent="0.2">
      <c r="A68" s="10">
        <v>44621</v>
      </c>
      <c r="B68" s="12">
        <v>227.92343447455664</v>
      </c>
      <c r="C68" s="12">
        <v>305.75029927218952</v>
      </c>
      <c r="D68" s="12">
        <v>255.12004049101199</v>
      </c>
      <c r="E68" s="12">
        <v>367.10353354220968</v>
      </c>
      <c r="F68" s="12">
        <v>245.44738989939341</v>
      </c>
      <c r="G68" s="12">
        <v>266.69736066623699</v>
      </c>
      <c r="H68" s="12">
        <v>248.81183313007716</v>
      </c>
      <c r="I68" s="12">
        <v>228.76635232596411</v>
      </c>
      <c r="J68" s="12">
        <v>281.1006685766036</v>
      </c>
      <c r="K68" s="12">
        <v>113.39597944581135</v>
      </c>
      <c r="L68" s="12">
        <v>338.50619691778314</v>
      </c>
      <c r="M68" s="12">
        <v>235.38817104423862</v>
      </c>
      <c r="N68" s="12">
        <v>142.0203612872269</v>
      </c>
      <c r="O68" s="12">
        <v>232.61333810974486</v>
      </c>
    </row>
    <row r="69" spans="1:15" ht="15" customHeight="1" x14ac:dyDescent="0.2">
      <c r="A69" s="10">
        <v>44652</v>
      </c>
      <c r="B69" s="12">
        <v>274.70940933669789</v>
      </c>
      <c r="C69" s="12">
        <v>356.78133825011093</v>
      </c>
      <c r="D69" s="12">
        <v>300.42502998112275</v>
      </c>
      <c r="E69" s="12">
        <v>461.05492697569917</v>
      </c>
      <c r="F69" s="12">
        <v>362.99025610615854</v>
      </c>
      <c r="G69" s="12">
        <v>332.46975595585724</v>
      </c>
      <c r="H69" s="12">
        <v>371.59893272265134</v>
      </c>
      <c r="I69" s="12">
        <v>348.73982436768796</v>
      </c>
      <c r="J69" s="12">
        <v>381.81324880162981</v>
      </c>
      <c r="K69" s="12">
        <v>126.77626902455133</v>
      </c>
      <c r="L69" s="12">
        <v>236.96133998417071</v>
      </c>
      <c r="M69" s="12">
        <v>337.76399992887201</v>
      </c>
      <c r="N69" s="12">
        <v>157.89152653589335</v>
      </c>
      <c r="O69" s="12">
        <v>303.07989191769479</v>
      </c>
    </row>
    <row r="70" spans="1:15" ht="15" customHeight="1" x14ac:dyDescent="0.2">
      <c r="A70" s="10">
        <v>44682</v>
      </c>
      <c r="B70" s="12">
        <v>300.50272158096402</v>
      </c>
      <c r="C70" s="12">
        <v>410.58049395333143</v>
      </c>
      <c r="D70" s="12">
        <v>336.01120183577331</v>
      </c>
      <c r="E70" s="12">
        <v>529.22876895957359</v>
      </c>
      <c r="F70" s="12">
        <v>394.95295747258956</v>
      </c>
      <c r="G70" s="12">
        <v>323.42770182870964</v>
      </c>
      <c r="H70" s="12">
        <v>424.4223899111625</v>
      </c>
      <c r="I70" s="12">
        <v>390.67063057259401</v>
      </c>
      <c r="J70" s="12">
        <v>430.0068309752092</v>
      </c>
      <c r="K70" s="12">
        <v>277.76228261628779</v>
      </c>
      <c r="L70" s="12">
        <v>1046.8502562074934</v>
      </c>
      <c r="M70" s="12">
        <v>368.71115493550741</v>
      </c>
      <c r="N70" s="12">
        <v>317.34860618887228</v>
      </c>
      <c r="O70" s="12">
        <v>393.67071239526553</v>
      </c>
    </row>
    <row r="71" spans="1:15" ht="15" customHeight="1" x14ac:dyDescent="0.2">
      <c r="A71" s="10">
        <v>44713</v>
      </c>
      <c r="B71" s="12">
        <v>287.45047057449909</v>
      </c>
      <c r="C71" s="12">
        <v>422.87823605106922</v>
      </c>
      <c r="D71" s="12">
        <v>341.68237722352154</v>
      </c>
      <c r="E71" s="12">
        <v>571.38274319739412</v>
      </c>
      <c r="F71" s="12">
        <v>421.19029259851237</v>
      </c>
      <c r="G71" s="12">
        <v>522.45879239915973</v>
      </c>
      <c r="H71" s="12">
        <v>431.89026141625646</v>
      </c>
      <c r="I71" s="12">
        <v>423.46964220848508</v>
      </c>
      <c r="J71" s="12">
        <v>425.47168577938533</v>
      </c>
      <c r="K71" s="12">
        <v>166.76305693407028</v>
      </c>
      <c r="L71" s="12">
        <v>439.53136728118636</v>
      </c>
      <c r="M71" s="12">
        <v>354.75510640573822</v>
      </c>
      <c r="N71" s="12">
        <v>203.22945864757358</v>
      </c>
      <c r="O71" s="12">
        <v>342.07217827010635</v>
      </c>
    </row>
    <row r="72" spans="1:15" ht="15" customHeight="1" x14ac:dyDescent="0.2">
      <c r="A72" s="10">
        <v>44743</v>
      </c>
      <c r="B72" s="12">
        <v>249.87868282824545</v>
      </c>
      <c r="C72" s="12">
        <v>589.55979807814708</v>
      </c>
      <c r="D72" s="12">
        <v>325.87980010981812</v>
      </c>
      <c r="E72" s="12">
        <v>531.25869915469536</v>
      </c>
      <c r="F72" s="12">
        <v>369.11458693310095</v>
      </c>
      <c r="G72" s="12">
        <v>536.0213105083393</v>
      </c>
      <c r="H72" s="12">
        <v>431.57870764516622</v>
      </c>
      <c r="I72" s="12">
        <v>357.32881134832792</v>
      </c>
      <c r="J72" s="12">
        <v>426.0584960889741</v>
      </c>
      <c r="K72" s="12">
        <v>244.67527569461816</v>
      </c>
      <c r="L72" s="12">
        <v>444.10254011844768</v>
      </c>
      <c r="M72" s="12">
        <v>426.41435046125258</v>
      </c>
      <c r="N72" s="12">
        <v>283.76045623486419</v>
      </c>
      <c r="O72" s="12">
        <v>377.98120568615627</v>
      </c>
    </row>
    <row r="73" spans="1:15" ht="15" customHeight="1" x14ac:dyDescent="0.2">
      <c r="A73" s="10">
        <v>44774</v>
      </c>
      <c r="B73" s="12">
        <v>264.43479294928795</v>
      </c>
      <c r="C73" s="12">
        <v>525.85564812915175</v>
      </c>
      <c r="D73" s="12">
        <v>329.2405216030312</v>
      </c>
      <c r="E73" s="12">
        <v>512.88265811213739</v>
      </c>
      <c r="F73" s="12">
        <v>427.93336384233288</v>
      </c>
      <c r="G73" s="12">
        <v>549.95194310395789</v>
      </c>
      <c r="H73" s="12">
        <v>439.60909588856538</v>
      </c>
      <c r="I73" s="12">
        <v>346.03905713689807</v>
      </c>
      <c r="J73" s="12">
        <v>408.54235289499269</v>
      </c>
      <c r="K73" s="12">
        <v>215.56767480212798</v>
      </c>
      <c r="L73" s="12">
        <v>229.95433757900264</v>
      </c>
      <c r="M73" s="12">
        <v>361.41242244197326</v>
      </c>
      <c r="N73" s="12">
        <v>249.39930292802353</v>
      </c>
      <c r="O73" s="12">
        <v>363.13002624014314</v>
      </c>
    </row>
    <row r="74" spans="1:15" ht="15" customHeight="1" x14ac:dyDescent="0.2">
      <c r="A74" s="10">
        <v>44805</v>
      </c>
      <c r="B74" s="12">
        <v>297.68443405870926</v>
      </c>
      <c r="C74" s="12">
        <v>489.21992649501777</v>
      </c>
      <c r="D74" s="12">
        <v>352.25482289647789</v>
      </c>
      <c r="E74" s="12">
        <v>489.69112752270519</v>
      </c>
      <c r="F74" s="12">
        <v>415.15922377463602</v>
      </c>
      <c r="G74" s="12">
        <v>583.74065558121299</v>
      </c>
      <c r="H74" s="12">
        <v>432.60921610073979</v>
      </c>
      <c r="I74" s="12">
        <v>347.51524752324553</v>
      </c>
      <c r="J74" s="12">
        <v>433.86278103605684</v>
      </c>
      <c r="K74" s="12">
        <v>201.21350399731716</v>
      </c>
      <c r="L74" s="12">
        <v>282.86459570423574</v>
      </c>
      <c r="M74" s="12">
        <v>381.36103283873604</v>
      </c>
      <c r="N74" s="12">
        <v>241.53720852741918</v>
      </c>
      <c r="O74" s="12">
        <v>358.64228281509088</v>
      </c>
    </row>
    <row r="75" spans="1:15" ht="15" customHeight="1" x14ac:dyDescent="0.2">
      <c r="A75" s="10">
        <v>44835</v>
      </c>
      <c r="B75" s="12">
        <v>281.14263833397371</v>
      </c>
      <c r="C75" s="12">
        <v>449.75612860940782</v>
      </c>
      <c r="D75" s="12">
        <v>332.19755290753261</v>
      </c>
      <c r="E75" s="12">
        <v>530.9543721294807</v>
      </c>
      <c r="F75" s="12">
        <v>359.13087695206139</v>
      </c>
      <c r="G75" s="12">
        <v>459.18662239059449</v>
      </c>
      <c r="H75" s="12">
        <v>454.00768024152711</v>
      </c>
      <c r="I75" s="12">
        <v>535.74161061731672</v>
      </c>
      <c r="J75" s="12">
        <v>425.97599103115675</v>
      </c>
      <c r="K75" s="12">
        <v>118.71295230568626</v>
      </c>
      <c r="L75" s="12">
        <v>456.42454475970686</v>
      </c>
      <c r="M75" s="12">
        <v>315.67835816393915</v>
      </c>
      <c r="N75" s="12">
        <v>149.35424748922031</v>
      </c>
      <c r="O75" s="12">
        <v>326.78168809980701</v>
      </c>
    </row>
    <row r="76" spans="1:15" ht="15" customHeight="1" x14ac:dyDescent="0.2">
      <c r="A76" s="10">
        <v>44866</v>
      </c>
      <c r="B76" s="12">
        <v>290.75134708506823</v>
      </c>
      <c r="C76" s="12">
        <v>453.42826925234243</v>
      </c>
      <c r="D76" s="12">
        <v>341.14388857202636</v>
      </c>
      <c r="E76" s="12">
        <v>480.8003582602347</v>
      </c>
      <c r="F76" s="12">
        <v>334.82407767239255</v>
      </c>
      <c r="G76" s="12">
        <v>637.54643963874912</v>
      </c>
      <c r="H76" s="12">
        <v>409.58948989020791</v>
      </c>
      <c r="I76" s="12">
        <v>527.88519256025404</v>
      </c>
      <c r="J76" s="12">
        <v>406.99594224450931</v>
      </c>
      <c r="K76" s="12">
        <v>187.06757370207217</v>
      </c>
      <c r="L76" s="12">
        <v>162.05078878084137</v>
      </c>
      <c r="M76" s="12">
        <v>391.91545439912534</v>
      </c>
      <c r="N76" s="12">
        <v>219.95737508401803</v>
      </c>
      <c r="O76" s="12">
        <v>353.05621202675945</v>
      </c>
    </row>
    <row r="77" spans="1:15" ht="15" customHeight="1" x14ac:dyDescent="0.2">
      <c r="A77" s="10">
        <v>44896</v>
      </c>
      <c r="B77" s="12">
        <v>282.62600228974134</v>
      </c>
      <c r="C77" s="12">
        <v>499.81600243355382</v>
      </c>
      <c r="D77" s="12">
        <v>353.63432295745503</v>
      </c>
      <c r="E77" s="12">
        <v>437.18128649289156</v>
      </c>
      <c r="F77" s="12">
        <v>336.90788361157291</v>
      </c>
      <c r="G77" s="12">
        <v>613.27231095014577</v>
      </c>
      <c r="H77" s="12">
        <v>422.89425392756243</v>
      </c>
      <c r="I77" s="12">
        <v>353.80231455059351</v>
      </c>
      <c r="J77" s="12">
        <v>394.10616932074316</v>
      </c>
      <c r="K77" s="12">
        <v>154.06542288860288</v>
      </c>
      <c r="L77" s="12">
        <v>284.86457242411302</v>
      </c>
      <c r="M77" s="12">
        <v>334.54105380979604</v>
      </c>
      <c r="N77" s="12">
        <v>189.23629442667627</v>
      </c>
      <c r="O77" s="12">
        <v>336.52772812030497</v>
      </c>
    </row>
    <row r="78" spans="1:15" ht="15" customHeight="1" x14ac:dyDescent="0.2">
      <c r="A78" s="11">
        <v>44927</v>
      </c>
      <c r="B78" s="120">
        <v>297.3605226952252</v>
      </c>
      <c r="C78" s="120">
        <v>328.81491411547046</v>
      </c>
      <c r="D78" s="120">
        <v>310.9980257547702</v>
      </c>
      <c r="E78" s="120">
        <v>439.7628144266269</v>
      </c>
      <c r="F78" s="120">
        <v>294.91310596385432</v>
      </c>
      <c r="G78" s="120">
        <v>363.357640410881</v>
      </c>
      <c r="H78" s="120">
        <v>396.31002978721523</v>
      </c>
      <c r="I78" s="120">
        <v>191.93799837961032</v>
      </c>
      <c r="J78" s="120">
        <v>367.29123619626836</v>
      </c>
      <c r="K78" s="120">
        <v>70.950041723879096</v>
      </c>
      <c r="L78" s="120">
        <v>289.31298660388978</v>
      </c>
      <c r="M78" s="120">
        <v>381.31395690798479</v>
      </c>
      <c r="N78" s="120">
        <v>97.259764189212333</v>
      </c>
      <c r="O78" s="120">
        <v>259.42512610190522</v>
      </c>
    </row>
    <row r="79" spans="1:15" ht="15" customHeight="1" x14ac:dyDescent="0.2">
      <c r="A79" s="11">
        <v>44958</v>
      </c>
      <c r="B79" s="120">
        <v>299.88394171463949</v>
      </c>
      <c r="C79" s="120">
        <v>467.63653583807974</v>
      </c>
      <c r="D79" s="120">
        <v>354.95332397860227</v>
      </c>
      <c r="E79" s="120">
        <v>431.1041302716468</v>
      </c>
      <c r="F79" s="120">
        <v>335.50590810674333</v>
      </c>
      <c r="G79" s="120">
        <v>493.89807004232819</v>
      </c>
      <c r="H79" s="120">
        <v>382.61316411644037</v>
      </c>
      <c r="I79" s="120">
        <v>451.92234069201811</v>
      </c>
      <c r="J79" s="120">
        <v>371.92370467596874</v>
      </c>
      <c r="K79" s="120">
        <v>113.25309978492743</v>
      </c>
      <c r="L79" s="120">
        <v>279.78536140758041</v>
      </c>
      <c r="M79" s="120">
        <v>381.70137214520054</v>
      </c>
      <c r="N79" s="120">
        <v>142.62673189816502</v>
      </c>
      <c r="O79" s="120">
        <v>287.41231557983258</v>
      </c>
    </row>
    <row r="80" spans="1:15" ht="15" customHeight="1" x14ac:dyDescent="0.2">
      <c r="A80" s="11">
        <v>44986</v>
      </c>
      <c r="B80" s="120">
        <v>306.8866376459913</v>
      </c>
      <c r="C80" s="120">
        <v>516.49314362560142</v>
      </c>
      <c r="D80" s="120">
        <v>376.22273679220302</v>
      </c>
      <c r="E80" s="120">
        <v>395.03847542312502</v>
      </c>
      <c r="F80" s="120">
        <v>367.60758110298053</v>
      </c>
      <c r="G80" s="120">
        <v>1230.6347034227729</v>
      </c>
      <c r="H80" s="120">
        <v>451.05864791587288</v>
      </c>
      <c r="I80" s="120">
        <v>477.8071881172142</v>
      </c>
      <c r="J80" s="120">
        <v>398.80154985007528</v>
      </c>
      <c r="K80" s="120">
        <v>115.79402354276192</v>
      </c>
      <c r="L80" s="120">
        <v>422.3441486555368</v>
      </c>
      <c r="M80" s="120">
        <v>318.88374170323186</v>
      </c>
      <c r="N80" s="120">
        <v>145.85919527555521</v>
      </c>
      <c r="O80" s="120">
        <v>316.28791625522211</v>
      </c>
    </row>
    <row r="81" spans="1:15" ht="15" customHeight="1" x14ac:dyDescent="0.2">
      <c r="A81" s="11">
        <v>45017</v>
      </c>
      <c r="B81" s="120">
        <v>283.3356186101949</v>
      </c>
      <c r="C81" s="120">
        <v>658.07492434748315</v>
      </c>
      <c r="D81" s="120">
        <v>407.68926284640133</v>
      </c>
      <c r="E81" s="120">
        <v>366.73286890692754</v>
      </c>
      <c r="F81" s="120">
        <v>305.23444710395836</v>
      </c>
      <c r="G81" s="120">
        <v>267.13678559925518</v>
      </c>
      <c r="H81" s="120">
        <v>355.71309514546965</v>
      </c>
      <c r="I81" s="120">
        <v>482.25003146576483</v>
      </c>
      <c r="J81" s="120">
        <v>340.87817586354839</v>
      </c>
      <c r="K81" s="120">
        <v>93.795439906266168</v>
      </c>
      <c r="L81" s="120">
        <v>460.10476095041292</v>
      </c>
      <c r="M81" s="120">
        <v>364.67082519104605</v>
      </c>
      <c r="N81" s="120">
        <v>122.91415314896352</v>
      </c>
      <c r="O81" s="120">
        <v>286.18567144990135</v>
      </c>
    </row>
    <row r="82" spans="1:15" ht="15" customHeight="1" x14ac:dyDescent="0.2">
      <c r="A82" s="11">
        <v>45047</v>
      </c>
      <c r="B82" s="120">
        <v>280.93021511292454</v>
      </c>
      <c r="C82" s="120">
        <v>461.59389469179689</v>
      </c>
      <c r="D82" s="120">
        <v>321.40847042206207</v>
      </c>
      <c r="E82" s="120">
        <v>306.80799671008054</v>
      </c>
      <c r="F82" s="120">
        <v>307.88541685618907</v>
      </c>
      <c r="G82" s="120">
        <v>276.54314368188955</v>
      </c>
      <c r="H82" s="120">
        <v>351.32688510842718</v>
      </c>
      <c r="I82" s="120">
        <v>397.60776967894469</v>
      </c>
      <c r="J82" s="120">
        <v>310.35778401019297</v>
      </c>
      <c r="K82" s="120">
        <v>209.37492125030488</v>
      </c>
      <c r="L82" s="120">
        <v>258.48548437060407</v>
      </c>
      <c r="M82" s="120">
        <v>337.48569399086148</v>
      </c>
      <c r="N82" s="120">
        <v>239.77185956484624</v>
      </c>
      <c r="O82" s="120">
        <v>300.56004609881904</v>
      </c>
    </row>
    <row r="83" spans="1:15" ht="15" customHeight="1" x14ac:dyDescent="0.2">
      <c r="A83" s="11">
        <v>45078</v>
      </c>
      <c r="B83" s="120">
        <v>262.00291533872468</v>
      </c>
      <c r="C83" s="120">
        <v>438.59657047156571</v>
      </c>
      <c r="D83" s="120">
        <v>314.83100529214647</v>
      </c>
      <c r="E83" s="120">
        <v>300.52468705411724</v>
      </c>
      <c r="F83" s="120">
        <v>284.5502121856436</v>
      </c>
      <c r="G83" s="120">
        <v>269.64745525156644</v>
      </c>
      <c r="H83" s="120">
        <v>333.38884393512325</v>
      </c>
      <c r="I83" s="120">
        <v>366.05793155554176</v>
      </c>
      <c r="J83" s="120">
        <v>276.05991088417505</v>
      </c>
      <c r="K83" s="120">
        <v>129.22925302829034</v>
      </c>
      <c r="L83" s="120">
        <v>201.5568001683607</v>
      </c>
      <c r="M83" s="120">
        <v>277.68618264478624</v>
      </c>
      <c r="N83" s="120">
        <v>154.71863131008507</v>
      </c>
      <c r="O83" s="120">
        <v>247.96823884044787</v>
      </c>
    </row>
    <row r="84" spans="1:15" ht="15" customHeight="1" x14ac:dyDescent="0.2">
      <c r="A84" s="11">
        <v>45108</v>
      </c>
      <c r="B84" s="120">
        <v>281.1307092838012</v>
      </c>
      <c r="C84" s="120">
        <v>421.64187518437541</v>
      </c>
      <c r="D84" s="120">
        <v>324.24200272672158</v>
      </c>
      <c r="E84" s="120">
        <v>295.54957611916006</v>
      </c>
      <c r="F84" s="120">
        <v>284.1388148253987</v>
      </c>
      <c r="G84" s="120">
        <v>295.06564660543523</v>
      </c>
      <c r="H84" s="120">
        <v>334.47093888707803</v>
      </c>
      <c r="I84" s="120">
        <v>467.22876601509108</v>
      </c>
      <c r="J84" s="120">
        <v>289.82239046502633</v>
      </c>
      <c r="K84" s="120">
        <v>154.71037290412187</v>
      </c>
      <c r="L84" s="120">
        <v>126.43657388521035</v>
      </c>
      <c r="M84" s="120">
        <v>307.90533769528759</v>
      </c>
      <c r="N84" s="120">
        <v>177.97617191068034</v>
      </c>
      <c r="O84" s="120">
        <v>266.88478725827582</v>
      </c>
    </row>
    <row r="85" spans="1:15" ht="15" customHeight="1" x14ac:dyDescent="0.2">
      <c r="A85" s="11">
        <v>45139</v>
      </c>
      <c r="B85" s="120">
        <v>299.57124987525384</v>
      </c>
      <c r="C85" s="120">
        <v>420.95020349014101</v>
      </c>
      <c r="D85" s="120">
        <v>342.23636947804408</v>
      </c>
      <c r="E85" s="120">
        <v>334.77121248327279</v>
      </c>
      <c r="F85" s="120">
        <v>283.82330720474158</v>
      </c>
      <c r="G85" s="120">
        <v>316.12440337821647</v>
      </c>
      <c r="H85" s="120">
        <v>339.03500233722434</v>
      </c>
      <c r="I85" s="120">
        <v>459.69213519179107</v>
      </c>
      <c r="J85" s="120">
        <v>301.84625413657733</v>
      </c>
      <c r="K85" s="120">
        <v>194.48732398594152</v>
      </c>
      <c r="L85" s="120">
        <v>162.93838740781302</v>
      </c>
      <c r="M85" s="120">
        <v>270.72180363547284</v>
      </c>
      <c r="N85" s="120">
        <v>207.29149857728376</v>
      </c>
      <c r="O85" s="120">
        <v>281.41588833830616</v>
      </c>
    </row>
    <row r="86" spans="1:15" ht="15" customHeight="1" x14ac:dyDescent="0.2">
      <c r="A86" s="11">
        <v>45170</v>
      </c>
      <c r="B86" s="120">
        <v>302.22965819580423</v>
      </c>
      <c r="C86" s="120">
        <v>391.41113663225434</v>
      </c>
      <c r="D86" s="120">
        <v>340.4972383394101</v>
      </c>
      <c r="E86" s="120">
        <v>358.70031477561872</v>
      </c>
      <c r="F86" s="120">
        <v>291.14021082499175</v>
      </c>
      <c r="G86" s="120">
        <v>282.44196519861339</v>
      </c>
      <c r="H86" s="120">
        <v>331.23253185081728</v>
      </c>
      <c r="I86" s="120">
        <v>318.6414210498923</v>
      </c>
      <c r="J86" s="120">
        <v>316.11749284249004</v>
      </c>
      <c r="K86" s="120">
        <v>154.38073146964317</v>
      </c>
      <c r="L86" s="120">
        <v>186.57296369606394</v>
      </c>
      <c r="M86" s="120">
        <v>305.60085605405141</v>
      </c>
      <c r="N86" s="120">
        <v>184.34226803825936</v>
      </c>
      <c r="O86" s="120">
        <v>273.51405495387257</v>
      </c>
    </row>
    <row r="87" spans="1:15" ht="15" customHeight="1" x14ac:dyDescent="0.2">
      <c r="A87" s="11">
        <v>45200</v>
      </c>
      <c r="B87" s="120">
        <v>307.33969223222908</v>
      </c>
      <c r="C87" s="120">
        <v>385.69618063461525</v>
      </c>
      <c r="D87" s="120">
        <v>339.3122242798471</v>
      </c>
      <c r="E87" s="120">
        <v>410.95944683741754</v>
      </c>
      <c r="F87" s="120">
        <v>310.84340805687179</v>
      </c>
      <c r="G87" s="120">
        <v>301.0861265751289</v>
      </c>
      <c r="H87" s="120">
        <v>321.49718572363042</v>
      </c>
      <c r="I87" s="120">
        <v>359.07522255899124</v>
      </c>
      <c r="J87" s="120">
        <v>338.17854866866588</v>
      </c>
      <c r="K87" s="120">
        <v>126.06256653566355</v>
      </c>
      <c r="L87" s="120">
        <v>333.6350934151431</v>
      </c>
      <c r="M87" s="120">
        <v>307.69093466748825</v>
      </c>
      <c r="N87" s="120">
        <v>158.96206170573899</v>
      </c>
      <c r="O87" s="120">
        <v>286.56590299629204</v>
      </c>
    </row>
    <row r="88" spans="1:15" ht="15" customHeight="1" x14ac:dyDescent="0.2">
      <c r="A88" s="11">
        <v>45231</v>
      </c>
      <c r="B88" s="120">
        <v>331.76500373076823</v>
      </c>
      <c r="C88" s="120">
        <v>352.94362377076402</v>
      </c>
      <c r="D88" s="120">
        <v>341.9770366054575</v>
      </c>
      <c r="E88" s="120">
        <v>362.3289784397877</v>
      </c>
      <c r="F88" s="120">
        <v>289.92036149273559</v>
      </c>
      <c r="G88" s="120">
        <v>202.2861725854562</v>
      </c>
      <c r="H88" s="120">
        <v>347.99154241973883</v>
      </c>
      <c r="I88" s="120">
        <v>331.18852607508597</v>
      </c>
      <c r="J88" s="120">
        <v>298.05988193344098</v>
      </c>
      <c r="K88" s="120">
        <v>177.13979618171408</v>
      </c>
      <c r="L88" s="120">
        <v>352.25860706445701</v>
      </c>
      <c r="M88" s="120">
        <v>313.033576637105</v>
      </c>
      <c r="N88" s="120">
        <v>208.48325706136143</v>
      </c>
      <c r="O88" s="120">
        <v>282.75149609297756</v>
      </c>
    </row>
    <row r="89" spans="1:15" ht="15" customHeight="1" x14ac:dyDescent="0.2">
      <c r="A89" s="11">
        <v>45261</v>
      </c>
      <c r="B89" s="120">
        <v>334.91979558678412</v>
      </c>
      <c r="C89" s="120">
        <v>414.79541741674205</v>
      </c>
      <c r="D89" s="120">
        <v>366.13621417925896</v>
      </c>
      <c r="E89" s="120">
        <v>337.31321569302088</v>
      </c>
      <c r="F89" s="120">
        <v>285.97011973024496</v>
      </c>
      <c r="G89" s="120">
        <v>215.34803317133932</v>
      </c>
      <c r="H89" s="120">
        <v>327.74342389454625</v>
      </c>
      <c r="I89" s="120">
        <v>245.39725745942124</v>
      </c>
      <c r="J89" s="120">
        <v>309.1772186960963</v>
      </c>
      <c r="K89" s="120">
        <v>126.94250351735754</v>
      </c>
      <c r="L89" s="120">
        <v>502.41703248876047</v>
      </c>
      <c r="M89" s="120">
        <v>308.86540110433106</v>
      </c>
      <c r="N89" s="120">
        <v>162.10744951255643</v>
      </c>
      <c r="O89" s="120">
        <v>272.6278529151848</v>
      </c>
    </row>
    <row r="90" spans="1:15" ht="15" customHeight="1" x14ac:dyDescent="0.2">
      <c r="A90" s="10" t="s">
        <v>347</v>
      </c>
      <c r="B90" s="12">
        <v>317.11243948482769</v>
      </c>
      <c r="C90" s="12">
        <v>341.72558964570607</v>
      </c>
      <c r="D90" s="12">
        <v>327.57563753769421</v>
      </c>
      <c r="E90" s="12">
        <v>372.88167844440551</v>
      </c>
      <c r="F90" s="12">
        <v>267.82153119622194</v>
      </c>
      <c r="G90" s="12">
        <v>245.75199084737761</v>
      </c>
      <c r="H90" s="12">
        <v>322.45731384110769</v>
      </c>
      <c r="I90" s="12">
        <v>258.83206729593212</v>
      </c>
      <c r="J90" s="12">
        <v>300.74106025378023</v>
      </c>
      <c r="K90" s="12">
        <v>73.858809082952632</v>
      </c>
      <c r="L90" s="12">
        <v>240.00384855321082</v>
      </c>
      <c r="M90" s="12">
        <v>282.41883697971247</v>
      </c>
      <c r="N90" s="12">
        <v>97.899813078379381</v>
      </c>
      <c r="O90" s="12">
        <v>226.75527055094526</v>
      </c>
    </row>
    <row r="91" spans="1:15" ht="15" customHeight="1" x14ac:dyDescent="0.2">
      <c r="A91" s="10" t="s">
        <v>348</v>
      </c>
      <c r="B91" s="12">
        <v>313.83912198809685</v>
      </c>
      <c r="C91" s="12">
        <v>329.14441093522345</v>
      </c>
      <c r="D91" s="12">
        <v>321.19952589210294</v>
      </c>
      <c r="E91" s="12">
        <v>319.65106298845797</v>
      </c>
      <c r="F91" s="12">
        <v>263.19791415332173</v>
      </c>
      <c r="G91" s="12">
        <v>244.95429178304738</v>
      </c>
      <c r="H91" s="12">
        <v>304.07089094774477</v>
      </c>
      <c r="I91" s="12">
        <v>211.61031447929773</v>
      </c>
      <c r="J91" s="12">
        <v>280.0131200530281</v>
      </c>
      <c r="K91" s="12">
        <v>105.96124429864491</v>
      </c>
      <c r="L91" s="12">
        <v>326.75634396318009</v>
      </c>
      <c r="M91" s="12">
        <v>282.10788091629991</v>
      </c>
      <c r="N91" s="12">
        <v>130.10845861310321</v>
      </c>
      <c r="O91" s="12">
        <v>230.57081486989131</v>
      </c>
    </row>
    <row r="92" spans="1:15" ht="15" customHeight="1" x14ac:dyDescent="0.2">
      <c r="A92" s="10" t="s">
        <v>349</v>
      </c>
      <c r="B92" s="12">
        <v>299.41516245464692</v>
      </c>
      <c r="C92" s="12">
        <v>392.52347935994453</v>
      </c>
      <c r="D92" s="12">
        <v>333.42296760499568</v>
      </c>
      <c r="E92" s="12">
        <v>305.89519043198902</v>
      </c>
      <c r="F92" s="12">
        <v>295.25311101415571</v>
      </c>
      <c r="G92" s="12">
        <v>227.65975554675882</v>
      </c>
      <c r="H92" s="12">
        <v>286.60109274993158</v>
      </c>
      <c r="I92" s="12">
        <v>293.44461634820783</v>
      </c>
      <c r="J92" s="12">
        <v>290.23412949236933</v>
      </c>
      <c r="K92" s="12">
        <v>119.31532022684613</v>
      </c>
      <c r="L92" s="12">
        <v>677.12160777171891</v>
      </c>
      <c r="M92" s="12">
        <v>272.79654888063055</v>
      </c>
      <c r="N92" s="12">
        <v>150.51921593869397</v>
      </c>
      <c r="O92" s="12">
        <v>260.12473972047621</v>
      </c>
    </row>
    <row r="93" spans="1:15" ht="15" customHeight="1" x14ac:dyDescent="0.2">
      <c r="A93" s="10" t="s">
        <v>350</v>
      </c>
      <c r="B93" s="12">
        <v>296.56694070332298</v>
      </c>
      <c r="C93" s="12">
        <v>398.110911957285</v>
      </c>
      <c r="D93" s="12">
        <v>335.58959030009964</v>
      </c>
      <c r="E93" s="12">
        <v>294.58708500469788</v>
      </c>
      <c r="F93" s="12">
        <v>297.80250424675143</v>
      </c>
      <c r="G93" s="12">
        <v>154.3926559969095</v>
      </c>
      <c r="H93" s="12">
        <v>307.50153357226912</v>
      </c>
      <c r="I93" s="12">
        <v>323.67549463533157</v>
      </c>
      <c r="J93" s="12">
        <v>286.93134581833601</v>
      </c>
      <c r="K93" s="12">
        <v>89.208045275178435</v>
      </c>
      <c r="L93" s="12">
        <v>274.70788531749378</v>
      </c>
      <c r="M93" s="12">
        <v>332.91864128740411</v>
      </c>
      <c r="N93" s="12">
        <v>119.11223002682848</v>
      </c>
      <c r="O93" s="12">
        <v>239.3998133312187</v>
      </c>
    </row>
    <row r="94" spans="1:15" ht="15" customHeight="1" x14ac:dyDescent="0.2">
      <c r="A94" s="10" t="s">
        <v>351</v>
      </c>
      <c r="B94" s="12">
        <v>310.54268453181544</v>
      </c>
      <c r="C94" s="12">
        <v>349.40096957505051</v>
      </c>
      <c r="D94" s="12">
        <v>327.27564407236156</v>
      </c>
      <c r="E94" s="12">
        <v>302.1977407376188</v>
      </c>
      <c r="F94" s="12">
        <v>301.65795682301706</v>
      </c>
      <c r="G94" s="12">
        <v>233.23672817289136</v>
      </c>
      <c r="H94" s="12">
        <v>305.81944295953338</v>
      </c>
      <c r="I94" s="12">
        <v>289.30557816906435</v>
      </c>
      <c r="J94" s="12">
        <v>284.95619782952519</v>
      </c>
      <c r="K94" s="12">
        <v>176.81499708569552</v>
      </c>
      <c r="L94" s="12">
        <v>197.85260127713164</v>
      </c>
      <c r="M94" s="12">
        <v>259.45850553016527</v>
      </c>
      <c r="N94" s="12">
        <v>195.31619410352886</v>
      </c>
      <c r="O94" s="12">
        <v>268.93853588561274</v>
      </c>
    </row>
    <row r="95" spans="1:15" ht="15" customHeight="1" x14ac:dyDescent="0.2">
      <c r="A95" s="10" t="s">
        <v>352</v>
      </c>
      <c r="B95" s="12">
        <v>297.08950938706232</v>
      </c>
      <c r="C95" s="12">
        <v>390.98660599305691</v>
      </c>
      <c r="D95" s="12">
        <v>330.59672762911777</v>
      </c>
      <c r="E95" s="12">
        <v>299.02126042400675</v>
      </c>
      <c r="F95" s="12">
        <v>280.00682160470859</v>
      </c>
      <c r="G95" s="12">
        <v>208.99181357937675</v>
      </c>
      <c r="H95" s="12">
        <v>305.20676739668494</v>
      </c>
      <c r="I95" s="12">
        <v>304.2158748738068</v>
      </c>
      <c r="J95" s="12">
        <v>280.7800034107193</v>
      </c>
      <c r="K95" s="12">
        <v>128.28561655314255</v>
      </c>
      <c r="L95" s="12">
        <v>301.93481144246607</v>
      </c>
      <c r="M95" s="12">
        <v>258.38193712182169</v>
      </c>
      <c r="N95" s="12">
        <v>152.67175129404544</v>
      </c>
      <c r="O95" s="12">
        <v>247.99936731619323</v>
      </c>
    </row>
    <row r="96" spans="1:15" ht="15" customHeight="1" x14ac:dyDescent="0.2">
      <c r="A96" s="10" t="s">
        <v>353</v>
      </c>
      <c r="B96" s="12">
        <v>295.42614641812844</v>
      </c>
      <c r="C96" s="12">
        <v>354.73482375038174</v>
      </c>
      <c r="D96" s="12">
        <v>319.48239377204555</v>
      </c>
      <c r="E96" s="12">
        <v>305.55382523987538</v>
      </c>
      <c r="F96" s="12">
        <v>268.74070662632363</v>
      </c>
      <c r="G96" s="12">
        <v>268.87642174794473</v>
      </c>
      <c r="H96" s="12">
        <v>299.29046630551454</v>
      </c>
      <c r="I96" s="12">
        <v>374.29777013291829</v>
      </c>
      <c r="J96" s="12">
        <v>276.33747878736597</v>
      </c>
      <c r="K96" s="12">
        <v>126.08136468964942</v>
      </c>
      <c r="L96" s="12">
        <v>407.35513781178969</v>
      </c>
      <c r="M96" s="12">
        <v>269.92955007626671</v>
      </c>
      <c r="N96" s="12">
        <v>157.68544340961691</v>
      </c>
      <c r="O96" s="12">
        <v>245.872148549945</v>
      </c>
    </row>
    <row r="97" spans="1:15" ht="15" customHeight="1" x14ac:dyDescent="0.2">
      <c r="A97" s="10" t="s">
        <v>354</v>
      </c>
      <c r="B97" s="12">
        <v>295.89241015760172</v>
      </c>
      <c r="C97" s="12">
        <v>364.84759909472103</v>
      </c>
      <c r="D97" s="12">
        <v>319.76908534859882</v>
      </c>
      <c r="E97" s="12">
        <v>297.27968345963131</v>
      </c>
      <c r="F97" s="12">
        <v>251.96053787726132</v>
      </c>
      <c r="G97" s="12">
        <v>288.70933399221735</v>
      </c>
      <c r="H97" s="12">
        <v>316.29433232776597</v>
      </c>
      <c r="I97" s="12">
        <v>259.03643200147002</v>
      </c>
      <c r="J97" s="12">
        <v>272.52518720632958</v>
      </c>
      <c r="K97" s="12">
        <v>148.53757184164533</v>
      </c>
      <c r="L97" s="12">
        <v>158.18482483623711</v>
      </c>
      <c r="M97" s="12">
        <v>292.83871167346035</v>
      </c>
      <c r="N97" s="12">
        <v>172.73653695160218</v>
      </c>
      <c r="O97" s="12">
        <v>254.47171503648917</v>
      </c>
    </row>
    <row r="98" spans="1:15" ht="15" customHeight="1" x14ac:dyDescent="0.2">
      <c r="A98" s="10" t="s">
        <v>355</v>
      </c>
      <c r="B98" s="12">
        <v>292.69901962806415</v>
      </c>
      <c r="C98" s="12">
        <v>377.92156889074477</v>
      </c>
      <c r="D98" s="12">
        <v>328.96207943368336</v>
      </c>
      <c r="E98" s="12">
        <v>278.17831226553909</v>
      </c>
      <c r="F98" s="12">
        <v>279.03220796105705</v>
      </c>
      <c r="G98" s="12">
        <v>218.53894367468641</v>
      </c>
      <c r="H98" s="12">
        <v>311.98158350097947</v>
      </c>
      <c r="I98" s="12">
        <v>258.45663922108878</v>
      </c>
      <c r="J98" s="12">
        <v>267.42529223619943</v>
      </c>
      <c r="K98" s="12">
        <v>164.70564383661971</v>
      </c>
      <c r="L98" s="12">
        <v>176.92590150323898</v>
      </c>
      <c r="M98" s="12">
        <v>274.13267124704578</v>
      </c>
      <c r="N98" s="12">
        <v>184.27462013384658</v>
      </c>
      <c r="O98" s="12">
        <v>243.84777738436094</v>
      </c>
    </row>
    <row r="99" spans="1:15" ht="15" customHeight="1" x14ac:dyDescent="0.2">
      <c r="A99" s="10" t="s">
        <v>356</v>
      </c>
      <c r="B99" s="12">
        <v>304.09378687612849</v>
      </c>
      <c r="C99" s="12">
        <v>331.48906339325629</v>
      </c>
      <c r="D99" s="12">
        <v>316.78838233531826</v>
      </c>
      <c r="E99" s="12">
        <v>281.26819479670945</v>
      </c>
      <c r="F99" s="12">
        <v>271.22074537084114</v>
      </c>
      <c r="G99" s="12">
        <v>251.75791132881537</v>
      </c>
      <c r="H99" s="12">
        <v>299.25476045922852</v>
      </c>
      <c r="I99" s="12">
        <v>232.59581963159843</v>
      </c>
      <c r="J99" s="12">
        <v>266.80501958403318</v>
      </c>
      <c r="K99" s="12">
        <v>141.88083604403516</v>
      </c>
      <c r="L99" s="12">
        <v>187.56985808633766</v>
      </c>
      <c r="M99" s="12">
        <v>234.11925516960531</v>
      </c>
      <c r="N99" s="12">
        <v>158.26588024500904</v>
      </c>
      <c r="O99" s="12">
        <v>241.28417278488811</v>
      </c>
    </row>
    <row r="100" spans="1:15" ht="15" customHeight="1" x14ac:dyDescent="0.2">
      <c r="A100" s="10" t="s">
        <v>357</v>
      </c>
      <c r="B100" s="12">
        <v>332.57031077809603</v>
      </c>
      <c r="C100" s="12">
        <v>302.00737153309422</v>
      </c>
      <c r="D100" s="12">
        <v>316.95666641373265</v>
      </c>
      <c r="E100" s="12">
        <v>267.45125171608498</v>
      </c>
      <c r="F100" s="12">
        <v>257.27954266081889</v>
      </c>
      <c r="G100" s="12">
        <v>185.23724486961464</v>
      </c>
      <c r="H100" s="12">
        <v>308.33999719966596</v>
      </c>
      <c r="I100" s="12">
        <v>263.0119568701441</v>
      </c>
      <c r="J100" s="12">
        <v>258.02913600360677</v>
      </c>
      <c r="K100" s="12">
        <v>153.94931379841316</v>
      </c>
      <c r="L100" s="12">
        <v>304.36306269126965</v>
      </c>
      <c r="M100" s="12">
        <v>247.54473056141327</v>
      </c>
      <c r="N100" s="12">
        <v>178.16426530003679</v>
      </c>
      <c r="O100" s="12">
        <v>248.89521265723189</v>
      </c>
    </row>
    <row r="101" spans="1:15" ht="15" customHeight="1" x14ac:dyDescent="0.2">
      <c r="A101" s="10" t="s">
        <v>358</v>
      </c>
      <c r="B101" s="12">
        <v>278.02429154654249</v>
      </c>
      <c r="C101" s="12">
        <v>355.86259535099663</v>
      </c>
      <c r="D101" s="12">
        <v>303.95172236233662</v>
      </c>
      <c r="E101" s="12">
        <v>264.76352586564542</v>
      </c>
      <c r="F101" s="12">
        <v>258.81454052951301</v>
      </c>
      <c r="G101" s="12">
        <v>221.50090514446907</v>
      </c>
      <c r="H101" s="12">
        <v>282.78619690624981</v>
      </c>
      <c r="I101" s="12">
        <v>215.13064181466069</v>
      </c>
      <c r="J101" s="12">
        <v>255.49846939015819</v>
      </c>
      <c r="K101" s="12">
        <v>158.76357104735229</v>
      </c>
      <c r="L101" s="12">
        <v>326.7470278482636</v>
      </c>
      <c r="M101" s="12">
        <v>265.94661951644895</v>
      </c>
      <c r="N101" s="12">
        <v>178.88938409648426</v>
      </c>
      <c r="O101" s="12">
        <v>242.73355266346994</v>
      </c>
    </row>
    <row r="102" spans="1:15" ht="15" customHeight="1" x14ac:dyDescent="0.2">
      <c r="A102" s="11" t="s">
        <v>287</v>
      </c>
      <c r="B102" s="122">
        <v>263.64528226542427</v>
      </c>
      <c r="C102" s="120">
        <v>316.51124810876905</v>
      </c>
      <c r="D102" s="123">
        <v>280.76946913412405</v>
      </c>
      <c r="E102" s="120">
        <v>269.67677714463144</v>
      </c>
      <c r="F102" s="120">
        <v>237.7745577461622</v>
      </c>
      <c r="G102" s="120">
        <v>222.70315960091131</v>
      </c>
      <c r="H102" s="120">
        <v>288.69570248503572</v>
      </c>
      <c r="I102" s="120">
        <v>226.35975834337972</v>
      </c>
      <c r="J102" s="120">
        <v>248.26435931784548</v>
      </c>
      <c r="K102" s="120">
        <v>109.48412853568927</v>
      </c>
      <c r="L102" s="120">
        <v>391.46767747172834</v>
      </c>
      <c r="M102" s="120">
        <v>248.88316898320872</v>
      </c>
      <c r="N102" s="120">
        <v>132.39939133605534</v>
      </c>
      <c r="O102" s="120">
        <v>217.77430369718456</v>
      </c>
    </row>
    <row r="103" spans="1:15" ht="15" customHeight="1" x14ac:dyDescent="0.2">
      <c r="A103" s="11" t="s">
        <v>288</v>
      </c>
      <c r="B103" s="122">
        <v>289.65244415042724</v>
      </c>
      <c r="C103" s="120">
        <v>288.08442490074714</v>
      </c>
      <c r="D103" s="123">
        <v>288.97225642321621</v>
      </c>
      <c r="E103" s="120">
        <v>270.5901419227788</v>
      </c>
      <c r="F103" s="120">
        <v>236.44097812293711</v>
      </c>
      <c r="G103" s="120">
        <v>275.74189044259998</v>
      </c>
      <c r="H103" s="120">
        <v>290.46701221859774</v>
      </c>
      <c r="I103" s="120">
        <v>270.37507163551044</v>
      </c>
      <c r="J103" s="120">
        <v>252.41576646468624</v>
      </c>
      <c r="K103" s="120">
        <v>81.078739080322364</v>
      </c>
      <c r="L103" s="120">
        <v>450.83751355845226</v>
      </c>
      <c r="M103" s="120">
        <v>261.25117495667484</v>
      </c>
      <c r="N103" s="120">
        <v>107.5772259239681</v>
      </c>
      <c r="O103" s="120">
        <v>207.76841438074288</v>
      </c>
    </row>
    <row r="104" spans="1:15" ht="15" customHeight="1" x14ac:dyDescent="0.2">
      <c r="A104" s="11" t="s">
        <v>289</v>
      </c>
      <c r="B104" s="122">
        <v>282.71457525930657</v>
      </c>
      <c r="C104" s="120">
        <v>399.9934151457698</v>
      </c>
      <c r="D104" s="123">
        <v>327.9795148556118</v>
      </c>
      <c r="E104" s="120">
        <v>267.19696354711863</v>
      </c>
      <c r="F104" s="120">
        <v>266.08155580591546</v>
      </c>
      <c r="G104" s="120">
        <v>263.2069035862794</v>
      </c>
      <c r="H104" s="120">
        <v>298.17577175149728</v>
      </c>
      <c r="I104" s="120">
        <v>317.6336353679049</v>
      </c>
      <c r="J104" s="120">
        <v>265.76551099413706</v>
      </c>
      <c r="K104" s="120">
        <v>133.58410902184571</v>
      </c>
      <c r="L104" s="120">
        <v>314.06148375004801</v>
      </c>
      <c r="M104" s="120">
        <v>265.70970311219241</v>
      </c>
      <c r="N104" s="120">
        <v>160.34186897774742</v>
      </c>
      <c r="O104" s="120">
        <v>245.12767279350854</v>
      </c>
    </row>
    <row r="105" spans="1:15" ht="15" customHeight="1" x14ac:dyDescent="0.2">
      <c r="A105" s="11" t="s">
        <v>290</v>
      </c>
      <c r="B105" s="122">
        <v>307.04876002247016</v>
      </c>
      <c r="C105" s="120">
        <v>391.44678497820854</v>
      </c>
      <c r="D105" s="123">
        <v>353.66331425556405</v>
      </c>
      <c r="E105" s="120">
        <v>258.98090626055233</v>
      </c>
      <c r="F105" s="120">
        <v>267.95906448218818</v>
      </c>
      <c r="G105" s="120">
        <v>184.13562836279425</v>
      </c>
      <c r="H105" s="120">
        <v>273.35382999668627</v>
      </c>
      <c r="I105" s="120">
        <v>329.83230253076113</v>
      </c>
      <c r="J105" s="120">
        <v>252.49018747621213</v>
      </c>
      <c r="K105" s="120">
        <v>105.26051531217963</v>
      </c>
      <c r="L105" s="120">
        <v>479.5438191026783</v>
      </c>
      <c r="M105" s="120">
        <v>237.0534339767465</v>
      </c>
      <c r="N105" s="120">
        <v>137.92421173632371</v>
      </c>
      <c r="O105" s="120">
        <v>229.53627720564398</v>
      </c>
    </row>
    <row r="106" spans="1:15" ht="15" customHeight="1" x14ac:dyDescent="0.2">
      <c r="A106" s="11" t="s">
        <v>291</v>
      </c>
      <c r="B106" s="122">
        <v>301.59222346262675</v>
      </c>
      <c r="C106" s="120">
        <v>424.89651136347055</v>
      </c>
      <c r="D106" s="123">
        <v>363.6583849217414</v>
      </c>
      <c r="E106" s="120">
        <v>251.3793292605074</v>
      </c>
      <c r="F106" s="120">
        <v>276.85851230361277</v>
      </c>
      <c r="G106" s="120">
        <v>249.05473138262187</v>
      </c>
      <c r="H106" s="120">
        <v>295.83539482333248</v>
      </c>
      <c r="I106" s="120">
        <v>296.78007061326309</v>
      </c>
      <c r="J106" s="120">
        <v>266.56228837831679</v>
      </c>
      <c r="K106" s="120">
        <v>192.25531771157301</v>
      </c>
      <c r="L106" s="120">
        <v>358.72701759458636</v>
      </c>
      <c r="M106" s="120">
        <v>255.76857738847326</v>
      </c>
      <c r="N106" s="120">
        <v>217.65324422993757</v>
      </c>
      <c r="O106" s="120">
        <v>273.65496357000018</v>
      </c>
    </row>
    <row r="107" spans="1:15" ht="15" customHeight="1" x14ac:dyDescent="0.2">
      <c r="A107" s="11" t="s">
        <v>292</v>
      </c>
      <c r="B107" s="122">
        <v>285.54734447861733</v>
      </c>
      <c r="C107" s="120">
        <v>416.73359393411005</v>
      </c>
      <c r="D107" s="123">
        <v>361.08900412818554</v>
      </c>
      <c r="E107" s="120">
        <v>253.33552381410831</v>
      </c>
      <c r="F107" s="120">
        <v>268.75732547184936</v>
      </c>
      <c r="G107" s="120">
        <v>220.09625008202141</v>
      </c>
      <c r="H107" s="120">
        <v>302.04968942544639</v>
      </c>
      <c r="I107" s="120">
        <v>236.60317878826379</v>
      </c>
      <c r="J107" s="120">
        <v>250.85811523262245</v>
      </c>
      <c r="K107" s="120">
        <v>113.39594157732985</v>
      </c>
      <c r="L107" s="120">
        <v>316.19456602634176</v>
      </c>
      <c r="M107" s="120">
        <v>247.50204130245285</v>
      </c>
      <c r="N107" s="120">
        <v>146.90322759549903</v>
      </c>
      <c r="O107" s="120">
        <v>238.46907121708855</v>
      </c>
    </row>
    <row r="108" spans="1:15" ht="15" customHeight="1" x14ac:dyDescent="0.2">
      <c r="A108" s="11" t="s">
        <v>341</v>
      </c>
      <c r="B108" s="122">
        <v>276.11799627164726</v>
      </c>
      <c r="C108" s="120">
        <v>476.44517361802997</v>
      </c>
      <c r="D108" s="123">
        <v>378.557239767091</v>
      </c>
      <c r="E108" s="120">
        <v>259.03053768817517</v>
      </c>
      <c r="F108" s="120">
        <v>259.94639675148966</v>
      </c>
      <c r="G108" s="120">
        <v>290.79849881263334</v>
      </c>
      <c r="H108" s="120">
        <v>315.83751558675624</v>
      </c>
      <c r="I108" s="120">
        <v>257.39940194742843</v>
      </c>
      <c r="J108" s="120">
        <v>254.9060745604493</v>
      </c>
      <c r="K108" s="120">
        <v>141.17609816290516</v>
      </c>
      <c r="L108" s="120">
        <v>396.10933277704078</v>
      </c>
      <c r="M108" s="120">
        <v>261.44643280555511</v>
      </c>
      <c r="N108" s="120">
        <v>173.95854453795101</v>
      </c>
      <c r="O108" s="120">
        <v>250.53290080933058</v>
      </c>
    </row>
    <row r="109" spans="1:15" ht="15" customHeight="1" x14ac:dyDescent="0.2">
      <c r="A109" s="11" t="s">
        <v>342</v>
      </c>
      <c r="B109" s="122">
        <v>298.66834241828127</v>
      </c>
      <c r="C109" s="120">
        <v>493.68311708581825</v>
      </c>
      <c r="D109" s="123">
        <v>410.90583889073724</v>
      </c>
      <c r="E109" s="120">
        <v>250.15087530275594</v>
      </c>
      <c r="F109" s="120">
        <v>248.13913987705772</v>
      </c>
      <c r="G109" s="120">
        <v>242.30702228307143</v>
      </c>
      <c r="H109" s="120">
        <v>294.82383478108517</v>
      </c>
      <c r="I109" s="120">
        <v>176.88099974856431</v>
      </c>
      <c r="J109" s="120">
        <v>246.55323774313561</v>
      </c>
      <c r="K109" s="120">
        <v>152.83552084096522</v>
      </c>
      <c r="L109" s="120">
        <v>340.51546660226808</v>
      </c>
      <c r="M109" s="120">
        <v>255.01527595293007</v>
      </c>
      <c r="N109" s="120">
        <v>190.28759182701421</v>
      </c>
      <c r="O109" s="120">
        <v>262.94705598443215</v>
      </c>
    </row>
    <row r="110" spans="1:15" ht="15" customHeight="1" x14ac:dyDescent="0.2">
      <c r="A110" s="11" t="s">
        <v>343</v>
      </c>
      <c r="B110" s="122">
        <v>290.21823910426872</v>
      </c>
      <c r="C110" s="120">
        <v>564.17415994515125</v>
      </c>
      <c r="D110" s="123">
        <v>446.61707129130525</v>
      </c>
      <c r="E110" s="120">
        <v>258.32052673890001</v>
      </c>
      <c r="F110" s="120">
        <v>256.90651311013937</v>
      </c>
      <c r="G110" s="120">
        <v>302.32538607619966</v>
      </c>
      <c r="H110" s="120">
        <v>302.63528622494562</v>
      </c>
      <c r="I110" s="120">
        <v>261.70643713502909</v>
      </c>
      <c r="J110" s="120">
        <v>252.08932469258397</v>
      </c>
      <c r="K110" s="120">
        <v>117.6618438460043</v>
      </c>
      <c r="L110" s="120">
        <v>361.3359874154005</v>
      </c>
      <c r="M110" s="120">
        <v>237.63395628558388</v>
      </c>
      <c r="N110" s="120">
        <v>159.54179004438868</v>
      </c>
      <c r="O110" s="120">
        <v>247.80848289715459</v>
      </c>
    </row>
    <row r="111" spans="1:15" ht="15" customHeight="1" x14ac:dyDescent="0.2">
      <c r="A111" s="11" t="s">
        <v>344</v>
      </c>
      <c r="B111" s="122">
        <v>281.43545230530532</v>
      </c>
      <c r="C111" s="120">
        <v>572.90131330799625</v>
      </c>
      <c r="D111" s="123">
        <v>418.89917056541111</v>
      </c>
      <c r="E111" s="120">
        <v>257.3290318093745</v>
      </c>
      <c r="F111" s="120">
        <v>261.71927586301337</v>
      </c>
      <c r="G111" s="120">
        <v>187.85836617823267</v>
      </c>
      <c r="H111" s="120">
        <v>326.14228519531798</v>
      </c>
      <c r="I111" s="120">
        <v>284.16366758485225</v>
      </c>
      <c r="J111" s="120">
        <v>256.01823785967355</v>
      </c>
      <c r="K111" s="120">
        <v>158.82961802495728</v>
      </c>
      <c r="L111" s="120">
        <v>389.870816376346</v>
      </c>
      <c r="M111" s="120">
        <v>258.98156932407846</v>
      </c>
      <c r="N111" s="120">
        <v>195.38144053407984</v>
      </c>
      <c r="O111" s="120">
        <v>267.15626689724274</v>
      </c>
    </row>
    <row r="112" spans="1:15" ht="15" customHeight="1" x14ac:dyDescent="0.2">
      <c r="A112" s="11" t="s">
        <v>345</v>
      </c>
      <c r="B112" s="122">
        <v>284.86958163638315</v>
      </c>
      <c r="C112" s="120">
        <v>487.92614860098541</v>
      </c>
      <c r="D112" s="123">
        <v>401.69902226728226</v>
      </c>
      <c r="E112" s="120">
        <v>264.12854927567975</v>
      </c>
      <c r="F112" s="120">
        <v>267.83123963759709</v>
      </c>
      <c r="G112" s="120">
        <v>219.97045142850081</v>
      </c>
      <c r="H112" s="120">
        <v>313.00195594038496</v>
      </c>
      <c r="I112" s="120">
        <v>269.38460394038856</v>
      </c>
      <c r="J112" s="120">
        <v>256.0514130721221</v>
      </c>
      <c r="K112" s="120">
        <v>149.69729427160416</v>
      </c>
      <c r="L112" s="120">
        <v>395.80367491913944</v>
      </c>
      <c r="M112" s="120">
        <v>251.61530719177603</v>
      </c>
      <c r="N112" s="120">
        <v>193.47070099158123</v>
      </c>
      <c r="O112" s="120">
        <v>269.82593135665894</v>
      </c>
    </row>
    <row r="113" spans="1:15" ht="15" customHeight="1" x14ac:dyDescent="0.2">
      <c r="A113" s="11" t="s">
        <v>346</v>
      </c>
      <c r="B113" s="122">
        <v>303.41537720874999</v>
      </c>
      <c r="C113" s="120">
        <v>448.11775172584015</v>
      </c>
      <c r="D113" s="123">
        <v>389.80921495628263</v>
      </c>
      <c r="E113" s="120">
        <v>248.63174628877854</v>
      </c>
      <c r="F113" s="120">
        <v>249.20875412392419</v>
      </c>
      <c r="G113" s="120">
        <v>141.18743734960736</v>
      </c>
      <c r="H113" s="120">
        <v>304.08339707061361</v>
      </c>
      <c r="I113" s="120">
        <v>257.11435076530319</v>
      </c>
      <c r="J113" s="120">
        <v>241.23517040596622</v>
      </c>
      <c r="K113" s="120">
        <v>127.00025438376285</v>
      </c>
      <c r="L113" s="120">
        <v>341.98403654225831</v>
      </c>
      <c r="M113" s="120">
        <v>265.19478596561999</v>
      </c>
      <c r="N113" s="120">
        <v>166.23654209818849</v>
      </c>
      <c r="O113" s="120">
        <v>246.3812304116795</v>
      </c>
    </row>
    <row r="114" spans="1:15" ht="15" customHeight="1" x14ac:dyDescent="0.2">
      <c r="A114" s="10" t="s">
        <v>373</v>
      </c>
      <c r="B114" s="12">
        <v>310.30890489740773</v>
      </c>
      <c r="C114" s="12">
        <v>298.42529315866818</v>
      </c>
      <c r="D114" s="12">
        <v>302.34578612383962</v>
      </c>
      <c r="E114" s="12">
        <v>233.49026400204832</v>
      </c>
      <c r="F114" s="12">
        <v>260.99785531011349</v>
      </c>
      <c r="G114" s="12">
        <v>210.92186863309169</v>
      </c>
      <c r="H114" s="12">
        <v>296.92005191949346</v>
      </c>
      <c r="I114" s="12">
        <v>302.40037612081801</v>
      </c>
      <c r="J114" s="12">
        <v>243.90362602338266</v>
      </c>
      <c r="K114" s="12">
        <v>127.92955133200228</v>
      </c>
      <c r="L114" s="12">
        <v>376.98480899533428</v>
      </c>
      <c r="M114" s="12">
        <v>221.58947997659956</v>
      </c>
      <c r="N114" s="12">
        <v>162.49821068450208</v>
      </c>
      <c r="O114" s="12">
        <v>230.58612492379297</v>
      </c>
    </row>
    <row r="115" spans="1:15" ht="15" customHeight="1" x14ac:dyDescent="0.2">
      <c r="A115" s="10" t="s">
        <v>374</v>
      </c>
      <c r="B115" s="12">
        <v>294.99539690500933</v>
      </c>
      <c r="C115" s="12">
        <v>323.22956876245922</v>
      </c>
      <c r="D115" s="12">
        <v>313.03583000513675</v>
      </c>
      <c r="E115" s="12">
        <v>263.57529596797815</v>
      </c>
      <c r="F115" s="12">
        <v>239.68689422372452</v>
      </c>
      <c r="G115" s="12">
        <v>348.01082171817899</v>
      </c>
      <c r="H115" s="12">
        <v>306.06087317923004</v>
      </c>
      <c r="I115" s="12">
        <v>300.09693229450943</v>
      </c>
      <c r="J115" s="12">
        <v>256.23045020940339</v>
      </c>
      <c r="K115" s="12">
        <v>74.780523878122096</v>
      </c>
      <c r="L115" s="12">
        <v>352.76184389205002</v>
      </c>
      <c r="M115" s="12">
        <v>275.95919614825874</v>
      </c>
      <c r="N115" s="12">
        <v>103.74685777828725</v>
      </c>
      <c r="O115" s="12">
        <v>205.95495521603127</v>
      </c>
    </row>
    <row r="116" spans="1:15" ht="15" customHeight="1" x14ac:dyDescent="0.2">
      <c r="A116" s="10" t="s">
        <v>375</v>
      </c>
      <c r="B116" s="12">
        <v>284.74167600272494</v>
      </c>
      <c r="C116" s="12">
        <v>367.02571737145888</v>
      </c>
      <c r="D116" s="12">
        <v>331.0456073106489</v>
      </c>
      <c r="E116" s="12">
        <v>432.03803862554821</v>
      </c>
      <c r="F116" s="12">
        <v>241.6999504870154</v>
      </c>
      <c r="G116" s="12">
        <v>247.40731948133831</v>
      </c>
      <c r="H116" s="12">
        <v>308.98867254273046</v>
      </c>
      <c r="I116" s="12">
        <v>301.26660337480098</v>
      </c>
      <c r="J116" s="12">
        <v>315.79287657395332</v>
      </c>
      <c r="K116" s="12">
        <v>92.664465363021634</v>
      </c>
      <c r="L116" s="12">
        <v>445.39089254985743</v>
      </c>
      <c r="M116" s="12">
        <v>268.2793894620192</v>
      </c>
      <c r="N116" s="12">
        <v>131.08854390128963</v>
      </c>
      <c r="O116" s="12">
        <v>255.73458805709407</v>
      </c>
    </row>
    <row r="117" spans="1:15" ht="15" customHeight="1" x14ac:dyDescent="0.2">
      <c r="A117" s="166" t="s">
        <v>397</v>
      </c>
      <c r="B117" s="191">
        <v>267.51013284559571</v>
      </c>
      <c r="C117" s="191">
        <v>394.89547209280147</v>
      </c>
      <c r="D117" s="191">
        <v>328.26650621860699</v>
      </c>
      <c r="E117" s="191">
        <v>474.6290052780011</v>
      </c>
      <c r="F117" s="191">
        <v>288.23117479846815</v>
      </c>
      <c r="G117" s="191">
        <v>551.49772571978178</v>
      </c>
      <c r="H117" s="191">
        <v>318.72488291849953</v>
      </c>
      <c r="I117" s="191">
        <v>337.29145468118304</v>
      </c>
      <c r="J117" s="191">
        <v>377.34890963238206</v>
      </c>
      <c r="K117" s="191">
        <v>103.51116571992378</v>
      </c>
      <c r="L117" s="191">
        <v>331.23947115011782</v>
      </c>
      <c r="M117" s="191">
        <v>324.31968742368792</v>
      </c>
      <c r="N117" s="191">
        <v>137.76549477401886</v>
      </c>
      <c r="O117" s="191">
        <v>287.95489338732057</v>
      </c>
    </row>
    <row r="118" spans="1:15" ht="15" customHeight="1" x14ac:dyDescent="0.2">
      <c r="A118" s="76" t="s">
        <v>322</v>
      </c>
      <c r="M118" s="19" t="s">
        <v>336</v>
      </c>
    </row>
    <row r="119" spans="1:15" ht="15" customHeight="1" x14ac:dyDescent="0.2">
      <c r="A119" s="76" t="s">
        <v>1</v>
      </c>
    </row>
    <row r="120" spans="1:15" ht="15" customHeight="1" x14ac:dyDescent="0.2"/>
    <row r="121" spans="1:15" ht="15" customHeight="1" x14ac:dyDescent="0.2"/>
    <row r="122" spans="1:15" ht="15" customHeight="1" x14ac:dyDescent="0.2"/>
    <row r="123" spans="1:15" ht="15" customHeight="1" x14ac:dyDescent="0.2"/>
    <row r="124" spans="1:15" ht="15" customHeight="1" x14ac:dyDescent="0.2"/>
    <row r="125" spans="1:15" ht="15" customHeight="1" x14ac:dyDescent="0.2"/>
    <row r="126" spans="1:15" ht="15" customHeight="1" x14ac:dyDescent="0.2"/>
  </sheetData>
  <mergeCells count="6">
    <mergeCell ref="A4:O4"/>
    <mergeCell ref="A6:A8"/>
    <mergeCell ref="O6:O8"/>
    <mergeCell ref="B7:D7"/>
    <mergeCell ref="E7:J7"/>
    <mergeCell ref="K7:N7"/>
  </mergeCells>
  <hyperlinks>
    <hyperlink ref="O2" location="Contents!A1" display="Back to Contents" xr:uid="{17E52BDA-DB24-41FC-A11B-AB5ACB71C9CD}"/>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DD72C-2124-4F7E-84F8-975E19F1CEFD}">
  <dimension ref="A1:T108"/>
  <sheetViews>
    <sheetView zoomScaleNormal="100" workbookViewId="0">
      <selection activeCell="I2" sqref="I2"/>
    </sheetView>
  </sheetViews>
  <sheetFormatPr defaultRowHeight="12.75" x14ac:dyDescent="0.2"/>
  <cols>
    <col min="1" max="1" width="14" style="76" customWidth="1"/>
    <col min="2" max="2" width="15.5703125" style="19" customWidth="1"/>
    <col min="3" max="9" width="16.28515625" style="19" customWidth="1"/>
    <col min="10" max="10" width="5.5703125" style="19" customWidth="1"/>
    <col min="11" max="16384" width="9.140625" style="19"/>
  </cols>
  <sheetData>
    <row r="1" spans="1:9" s="16" customFormat="1" ht="15" customHeight="1" x14ac:dyDescent="0.25">
      <c r="A1" s="13" t="s">
        <v>29</v>
      </c>
      <c r="I1" s="15" t="s">
        <v>328</v>
      </c>
    </row>
    <row r="2" spans="1:9" s="16" customFormat="1" ht="15" customHeight="1" x14ac:dyDescent="0.25">
      <c r="A2" s="54" t="s">
        <v>326</v>
      </c>
      <c r="I2" s="17" t="s">
        <v>10</v>
      </c>
    </row>
    <row r="3" spans="1:9" s="16" customFormat="1" ht="15" customHeight="1" x14ac:dyDescent="0.25">
      <c r="A3" s="54"/>
      <c r="I3" s="17"/>
    </row>
    <row r="4" spans="1:9" s="16" customFormat="1" ht="15" customHeight="1" x14ac:dyDescent="0.25">
      <c r="A4" s="267" t="s">
        <v>327</v>
      </c>
      <c r="B4" s="267"/>
      <c r="C4" s="267"/>
      <c r="D4" s="267"/>
      <c r="E4" s="267"/>
      <c r="F4" s="267"/>
      <c r="G4" s="267"/>
      <c r="H4" s="267"/>
      <c r="I4" s="267"/>
    </row>
    <row r="5" spans="1:9" s="16" customFormat="1" ht="15" customHeight="1" x14ac:dyDescent="0.25">
      <c r="A5" s="119" t="s">
        <v>117</v>
      </c>
      <c r="I5" s="116"/>
    </row>
    <row r="6" spans="1:9" ht="15" customHeight="1" x14ac:dyDescent="0.2">
      <c r="A6" s="227" t="s">
        <v>3</v>
      </c>
      <c r="B6" s="269" t="s">
        <v>330</v>
      </c>
      <c r="C6" s="270"/>
      <c r="D6" s="270"/>
      <c r="E6" s="270"/>
      <c r="F6" s="270"/>
      <c r="G6" s="270"/>
      <c r="H6" s="270"/>
      <c r="I6" s="271"/>
    </row>
    <row r="7" spans="1:9" ht="30" customHeight="1" x14ac:dyDescent="0.2">
      <c r="A7" s="229"/>
      <c r="B7" s="118" t="s">
        <v>382</v>
      </c>
      <c r="C7" s="118" t="s">
        <v>381</v>
      </c>
      <c r="D7" s="118" t="s">
        <v>331</v>
      </c>
      <c r="E7" s="118" t="s">
        <v>332</v>
      </c>
      <c r="F7" s="118" t="s">
        <v>333</v>
      </c>
      <c r="G7" s="118" t="s">
        <v>334</v>
      </c>
      <c r="H7" s="118" t="s">
        <v>181</v>
      </c>
      <c r="I7" s="118" t="s">
        <v>2</v>
      </c>
    </row>
    <row r="8" spans="1:9" ht="15" customHeight="1" x14ac:dyDescent="0.2">
      <c r="A8" s="34" t="s">
        <v>49</v>
      </c>
      <c r="B8" s="156">
        <v>55367</v>
      </c>
      <c r="C8" s="156">
        <v>79159</v>
      </c>
      <c r="D8" s="156">
        <v>4452</v>
      </c>
      <c r="E8" s="156">
        <v>11281</v>
      </c>
      <c r="F8" s="156">
        <v>38129</v>
      </c>
      <c r="G8" s="156">
        <v>4767</v>
      </c>
      <c r="H8" s="156">
        <v>1340</v>
      </c>
      <c r="I8" s="156">
        <v>194495</v>
      </c>
    </row>
    <row r="9" spans="1:9" ht="15" customHeight="1" x14ac:dyDescent="0.2">
      <c r="A9" s="35" t="s">
        <v>50</v>
      </c>
      <c r="B9" s="157">
        <v>520563</v>
      </c>
      <c r="C9" s="157">
        <v>332631</v>
      </c>
      <c r="D9" s="157">
        <v>34212</v>
      </c>
      <c r="E9" s="157">
        <v>92498</v>
      </c>
      <c r="F9" s="157">
        <v>293702</v>
      </c>
      <c r="G9" s="157">
        <v>61998</v>
      </c>
      <c r="H9" s="157">
        <v>12391</v>
      </c>
      <c r="I9" s="157">
        <v>1347995</v>
      </c>
    </row>
    <row r="10" spans="1:9" ht="15" customHeight="1" x14ac:dyDescent="0.2">
      <c r="A10" s="34" t="s">
        <v>51</v>
      </c>
      <c r="B10" s="156">
        <v>480406</v>
      </c>
      <c r="C10" s="156">
        <v>521298</v>
      </c>
      <c r="D10" s="156">
        <v>27830</v>
      </c>
      <c r="E10" s="156">
        <v>91080</v>
      </c>
      <c r="F10" s="156">
        <v>276921</v>
      </c>
      <c r="G10" s="156">
        <v>75635</v>
      </c>
      <c r="H10" s="156">
        <v>14133</v>
      </c>
      <c r="I10" s="156">
        <v>1487303</v>
      </c>
    </row>
    <row r="11" spans="1:9" ht="15" customHeight="1" x14ac:dyDescent="0.2">
      <c r="A11" s="35" t="s">
        <v>362</v>
      </c>
      <c r="B11" s="157">
        <v>699562</v>
      </c>
      <c r="C11" s="157">
        <v>759462</v>
      </c>
      <c r="D11" s="157">
        <v>29205</v>
      </c>
      <c r="E11" s="157">
        <v>102812</v>
      </c>
      <c r="F11" s="157">
        <v>340883</v>
      </c>
      <c r="G11" s="157">
        <v>101234</v>
      </c>
      <c r="H11" s="157">
        <v>20307</v>
      </c>
      <c r="I11" s="157">
        <v>2053465</v>
      </c>
    </row>
    <row r="12" spans="1:9" ht="15" customHeight="1" x14ac:dyDescent="0.2">
      <c r="A12" s="34" t="s">
        <v>359</v>
      </c>
      <c r="B12" s="156">
        <f>B30+B31+B32+B33</f>
        <v>752123</v>
      </c>
      <c r="C12" s="156">
        <f t="shared" ref="C12:I12" si="0">C30+C31+C32+C33</f>
        <v>916348</v>
      </c>
      <c r="D12" s="156">
        <f t="shared" si="0"/>
        <v>32338</v>
      </c>
      <c r="E12" s="156">
        <f t="shared" si="0"/>
        <v>113289</v>
      </c>
      <c r="F12" s="156">
        <f t="shared" si="0"/>
        <v>330568</v>
      </c>
      <c r="G12" s="156">
        <f t="shared" si="0"/>
        <v>123413</v>
      </c>
      <c r="H12" s="156">
        <f t="shared" si="0"/>
        <v>94442</v>
      </c>
      <c r="I12" s="156">
        <f t="shared" si="0"/>
        <v>2362521</v>
      </c>
    </row>
    <row r="13" spans="1:9" ht="15" customHeight="1" x14ac:dyDescent="0.2">
      <c r="A13" s="8"/>
      <c r="B13" s="114"/>
      <c r="C13" s="114"/>
      <c r="D13" s="114"/>
      <c r="E13" s="114"/>
      <c r="F13" s="114"/>
      <c r="G13" s="114"/>
      <c r="H13" s="114"/>
      <c r="I13" s="120"/>
    </row>
    <row r="14" spans="1:9" ht="15" customHeight="1" x14ac:dyDescent="0.2">
      <c r="A14" s="8" t="s">
        <v>17</v>
      </c>
      <c r="B14" s="156">
        <f>B36+B37+B38</f>
        <v>1881</v>
      </c>
      <c r="C14" s="156">
        <f t="shared" ref="C14:I14" si="1">C36+C37+C38</f>
        <v>949</v>
      </c>
      <c r="D14" s="156">
        <f t="shared" si="1"/>
        <v>127</v>
      </c>
      <c r="E14" s="156">
        <f t="shared" si="1"/>
        <v>480</v>
      </c>
      <c r="F14" s="156">
        <f t="shared" si="1"/>
        <v>6064</v>
      </c>
      <c r="G14" s="156">
        <f t="shared" si="1"/>
        <v>71</v>
      </c>
      <c r="H14" s="156">
        <f t="shared" si="1"/>
        <v>57</v>
      </c>
      <c r="I14" s="156">
        <f t="shared" si="1"/>
        <v>9629</v>
      </c>
    </row>
    <row r="15" spans="1:9" ht="15" customHeight="1" x14ac:dyDescent="0.2">
      <c r="A15" s="8" t="s">
        <v>18</v>
      </c>
      <c r="B15" s="156">
        <f>B39+B40+B41</f>
        <v>2845</v>
      </c>
      <c r="C15" s="156">
        <f t="shared" ref="C15:I15" si="2">C39+C40+C41</f>
        <v>2099</v>
      </c>
      <c r="D15" s="156">
        <f t="shared" si="2"/>
        <v>171</v>
      </c>
      <c r="E15" s="156">
        <f t="shared" si="2"/>
        <v>801</v>
      </c>
      <c r="F15" s="156">
        <f t="shared" si="2"/>
        <v>1126</v>
      </c>
      <c r="G15" s="156">
        <f t="shared" si="2"/>
        <v>135</v>
      </c>
      <c r="H15" s="156">
        <f t="shared" si="2"/>
        <v>102</v>
      </c>
      <c r="I15" s="156">
        <f t="shared" si="2"/>
        <v>7279</v>
      </c>
    </row>
    <row r="16" spans="1:9" ht="15" customHeight="1" x14ac:dyDescent="0.2">
      <c r="A16" s="8" t="s">
        <v>19</v>
      </c>
      <c r="B16" s="156">
        <f>B42+B43+B44</f>
        <v>5050</v>
      </c>
      <c r="C16" s="156">
        <f t="shared" ref="C16:I16" si="3">C42+C43+C44</f>
        <v>12853</v>
      </c>
      <c r="D16" s="156">
        <f t="shared" si="3"/>
        <v>189</v>
      </c>
      <c r="E16" s="156">
        <f t="shared" si="3"/>
        <v>1747</v>
      </c>
      <c r="F16" s="156">
        <f t="shared" si="3"/>
        <v>1021</v>
      </c>
      <c r="G16" s="156">
        <f t="shared" si="3"/>
        <v>84</v>
      </c>
      <c r="H16" s="156">
        <f t="shared" si="3"/>
        <v>72</v>
      </c>
      <c r="I16" s="156">
        <f t="shared" si="3"/>
        <v>21016</v>
      </c>
    </row>
    <row r="17" spans="1:9" ht="15" customHeight="1" x14ac:dyDescent="0.2">
      <c r="A17" s="8" t="s">
        <v>20</v>
      </c>
      <c r="B17" s="156">
        <f>B45+B46+B47</f>
        <v>45591</v>
      </c>
      <c r="C17" s="156">
        <f t="shared" ref="C17:I17" si="4">C45+C46+C47</f>
        <v>63258</v>
      </c>
      <c r="D17" s="156">
        <f t="shared" si="4"/>
        <v>3965</v>
      </c>
      <c r="E17" s="156">
        <f t="shared" si="4"/>
        <v>8253</v>
      </c>
      <c r="F17" s="156">
        <f t="shared" si="4"/>
        <v>29918</v>
      </c>
      <c r="G17" s="156">
        <f t="shared" si="4"/>
        <v>4477</v>
      </c>
      <c r="H17" s="156">
        <f t="shared" si="4"/>
        <v>1109</v>
      </c>
      <c r="I17" s="156">
        <f t="shared" si="4"/>
        <v>156571</v>
      </c>
    </row>
    <row r="18" spans="1:9" ht="15" customHeight="1" x14ac:dyDescent="0.2">
      <c r="A18" s="9" t="s">
        <v>21</v>
      </c>
      <c r="B18" s="157">
        <f>B48+B49+B50</f>
        <v>101236</v>
      </c>
      <c r="C18" s="157">
        <f t="shared" ref="C18:I18" si="5">C48+C49+C50</f>
        <v>65139</v>
      </c>
      <c r="D18" s="157">
        <f t="shared" si="5"/>
        <v>7796</v>
      </c>
      <c r="E18" s="157">
        <f t="shared" si="5"/>
        <v>13508</v>
      </c>
      <c r="F18" s="157">
        <f t="shared" si="5"/>
        <v>87895</v>
      </c>
      <c r="G18" s="157">
        <f t="shared" si="5"/>
        <v>7367</v>
      </c>
      <c r="H18" s="157">
        <f t="shared" si="5"/>
        <v>2393</v>
      </c>
      <c r="I18" s="157">
        <f t="shared" si="5"/>
        <v>285334</v>
      </c>
    </row>
    <row r="19" spans="1:9" ht="15" customHeight="1" x14ac:dyDescent="0.2">
      <c r="A19" s="9" t="s">
        <v>22</v>
      </c>
      <c r="B19" s="157">
        <f>B51+B52+B53</f>
        <v>57333</v>
      </c>
      <c r="C19" s="157">
        <f t="shared" ref="C19:H19" si="6">C51+C52+C53</f>
        <v>29558</v>
      </c>
      <c r="D19" s="157">
        <f t="shared" si="6"/>
        <v>3392</v>
      </c>
      <c r="E19" s="157">
        <f t="shared" si="6"/>
        <v>11356</v>
      </c>
      <c r="F19" s="157">
        <f t="shared" si="6"/>
        <v>14530</v>
      </c>
      <c r="G19" s="157">
        <f t="shared" si="6"/>
        <v>8348</v>
      </c>
      <c r="H19" s="157">
        <f t="shared" si="6"/>
        <v>1526</v>
      </c>
      <c r="I19" s="157">
        <f>I51+I52+I53</f>
        <v>126043</v>
      </c>
    </row>
    <row r="20" spans="1:9" ht="15" customHeight="1" x14ac:dyDescent="0.2">
      <c r="A20" s="9" t="s">
        <v>23</v>
      </c>
      <c r="B20" s="157">
        <f>B54+B55+B56</f>
        <v>57707</v>
      </c>
      <c r="C20" s="157">
        <f t="shared" ref="C20:I20" si="7">C54+C55+C56</f>
        <v>28065</v>
      </c>
      <c r="D20" s="157">
        <f t="shared" si="7"/>
        <v>2673</v>
      </c>
      <c r="E20" s="157">
        <f t="shared" si="7"/>
        <v>11202</v>
      </c>
      <c r="F20" s="157">
        <f t="shared" si="7"/>
        <v>7568</v>
      </c>
      <c r="G20" s="157">
        <f t="shared" si="7"/>
        <v>6798</v>
      </c>
      <c r="H20" s="157">
        <f t="shared" si="7"/>
        <v>842</v>
      </c>
      <c r="I20" s="157">
        <f t="shared" si="7"/>
        <v>114855</v>
      </c>
    </row>
    <row r="21" spans="1:9" ht="15" customHeight="1" x14ac:dyDescent="0.2">
      <c r="A21" s="9" t="s">
        <v>24</v>
      </c>
      <c r="B21" s="157">
        <f>B57+B58+B59</f>
        <v>56888</v>
      </c>
      <c r="C21" s="157">
        <f t="shared" ref="C21:I21" si="8">C57+C58+C59</f>
        <v>56902</v>
      </c>
      <c r="D21" s="157">
        <f t="shared" si="8"/>
        <v>4246</v>
      </c>
      <c r="E21" s="157">
        <f t="shared" si="8"/>
        <v>13343</v>
      </c>
      <c r="F21" s="157">
        <f t="shared" si="8"/>
        <v>49069</v>
      </c>
      <c r="G21" s="157">
        <f t="shared" si="8"/>
        <v>11370</v>
      </c>
      <c r="H21" s="157">
        <f t="shared" si="8"/>
        <v>1928</v>
      </c>
      <c r="I21" s="157">
        <f t="shared" si="8"/>
        <v>193746</v>
      </c>
    </row>
    <row r="22" spans="1:9" ht="15" customHeight="1" x14ac:dyDescent="0.2">
      <c r="A22" s="8" t="s">
        <v>25</v>
      </c>
      <c r="B22" s="156">
        <f>B60+B61+B62</f>
        <v>110878</v>
      </c>
      <c r="C22" s="156">
        <f t="shared" ref="C22:I22" si="9">C60+C61+C62</f>
        <v>78594</v>
      </c>
      <c r="D22" s="156">
        <f t="shared" si="9"/>
        <v>5236</v>
      </c>
      <c r="E22" s="156">
        <f t="shared" si="9"/>
        <v>21773</v>
      </c>
      <c r="F22" s="156">
        <f t="shared" si="9"/>
        <v>103856</v>
      </c>
      <c r="G22" s="156">
        <f t="shared" si="9"/>
        <v>12835</v>
      </c>
      <c r="H22" s="156">
        <f t="shared" si="9"/>
        <v>2507</v>
      </c>
      <c r="I22" s="156">
        <f t="shared" si="9"/>
        <v>335679</v>
      </c>
    </row>
    <row r="23" spans="1:9" ht="15" customHeight="1" x14ac:dyDescent="0.2">
      <c r="A23" s="8" t="s">
        <v>26</v>
      </c>
      <c r="B23" s="156">
        <f>B63+B64+B65</f>
        <v>84214</v>
      </c>
      <c r="C23" s="156">
        <f t="shared" ref="C23:I23" si="10">C63+C64+C65</f>
        <v>114621</v>
      </c>
      <c r="D23" s="156">
        <f t="shared" si="10"/>
        <v>6787</v>
      </c>
      <c r="E23" s="156">
        <f t="shared" si="10"/>
        <v>22720</v>
      </c>
      <c r="F23" s="156">
        <f t="shared" si="10"/>
        <v>40297</v>
      </c>
      <c r="G23" s="156">
        <f t="shared" si="10"/>
        <v>17464</v>
      </c>
      <c r="H23" s="156">
        <f t="shared" si="10"/>
        <v>3092</v>
      </c>
      <c r="I23" s="156">
        <f t="shared" si="10"/>
        <v>289195</v>
      </c>
    </row>
    <row r="24" spans="1:9" ht="15" customHeight="1" x14ac:dyDescent="0.2">
      <c r="A24" s="8" t="s">
        <v>27</v>
      </c>
      <c r="B24" s="156">
        <f>B66+B67+B68</f>
        <v>148262</v>
      </c>
      <c r="C24" s="156">
        <f t="shared" ref="C24:I24" si="11">C66+C67+C68</f>
        <v>154652</v>
      </c>
      <c r="D24" s="156">
        <f t="shared" si="11"/>
        <v>9613</v>
      </c>
      <c r="E24" s="156">
        <f t="shared" si="11"/>
        <v>22690</v>
      </c>
      <c r="F24" s="156">
        <f t="shared" si="11"/>
        <v>33692</v>
      </c>
      <c r="G24" s="156">
        <f t="shared" si="11"/>
        <v>18847</v>
      </c>
      <c r="H24" s="156">
        <f t="shared" si="11"/>
        <v>3626</v>
      </c>
      <c r="I24" s="156">
        <f t="shared" si="11"/>
        <v>391382</v>
      </c>
    </row>
    <row r="25" spans="1:9" ht="15" customHeight="1" x14ac:dyDescent="0.2">
      <c r="A25" s="8" t="s">
        <v>28</v>
      </c>
      <c r="B25" s="156">
        <f>B69+B70+B71</f>
        <v>137052</v>
      </c>
      <c r="C25" s="156">
        <f t="shared" ref="C25:I25" si="12">C69+C70+C71</f>
        <v>173431</v>
      </c>
      <c r="D25" s="156">
        <f t="shared" si="12"/>
        <v>6194</v>
      </c>
      <c r="E25" s="156">
        <f t="shared" si="12"/>
        <v>23897</v>
      </c>
      <c r="F25" s="156">
        <f t="shared" si="12"/>
        <v>99052</v>
      </c>
      <c r="G25" s="156">
        <f t="shared" si="12"/>
        <v>26489</v>
      </c>
      <c r="H25" s="156">
        <f t="shared" si="12"/>
        <v>4932</v>
      </c>
      <c r="I25" s="156">
        <f t="shared" si="12"/>
        <v>471047</v>
      </c>
    </row>
    <row r="26" spans="1:9" ht="15" customHeight="1" x14ac:dyDescent="0.2">
      <c r="A26" s="9" t="s">
        <v>369</v>
      </c>
      <c r="B26" s="157">
        <v>220678</v>
      </c>
      <c r="C26" s="157">
        <v>187136</v>
      </c>
      <c r="D26" s="157">
        <v>5417</v>
      </c>
      <c r="E26" s="157">
        <v>31412</v>
      </c>
      <c r="F26" s="157">
        <v>161934</v>
      </c>
      <c r="G26" s="157">
        <v>24177</v>
      </c>
      <c r="H26" s="157">
        <v>5030</v>
      </c>
      <c r="I26" s="157">
        <v>635784</v>
      </c>
    </row>
    <row r="27" spans="1:9" ht="15" customHeight="1" x14ac:dyDescent="0.2">
      <c r="A27" s="9" t="s">
        <v>370</v>
      </c>
      <c r="B27" s="157">
        <v>115079</v>
      </c>
      <c r="C27" s="157">
        <v>164494</v>
      </c>
      <c r="D27" s="157">
        <v>8057</v>
      </c>
      <c r="E27" s="157">
        <v>24080</v>
      </c>
      <c r="F27" s="157">
        <v>36517</v>
      </c>
      <c r="G27" s="157">
        <v>21715</v>
      </c>
      <c r="H27" s="157">
        <v>4523</v>
      </c>
      <c r="I27" s="157">
        <v>374465</v>
      </c>
    </row>
    <row r="28" spans="1:9" ht="15" customHeight="1" x14ac:dyDescent="0.2">
      <c r="A28" s="9" t="s">
        <v>371</v>
      </c>
      <c r="B28" s="157">
        <v>193676</v>
      </c>
      <c r="C28" s="157">
        <v>193226</v>
      </c>
      <c r="D28" s="157">
        <v>8875</v>
      </c>
      <c r="E28" s="157">
        <v>21947</v>
      </c>
      <c r="F28" s="157">
        <v>27931</v>
      </c>
      <c r="G28" s="157">
        <v>24414</v>
      </c>
      <c r="H28" s="157">
        <v>4490</v>
      </c>
      <c r="I28" s="157">
        <v>474559</v>
      </c>
    </row>
    <row r="29" spans="1:9" ht="15" customHeight="1" x14ac:dyDescent="0.2">
      <c r="A29" s="9" t="s">
        <v>372</v>
      </c>
      <c r="B29" s="157">
        <v>170129</v>
      </c>
      <c r="C29" s="157">
        <v>214606</v>
      </c>
      <c r="D29" s="157">
        <v>6856</v>
      </c>
      <c r="E29" s="157">
        <v>25373</v>
      </c>
      <c r="F29" s="157">
        <v>114501</v>
      </c>
      <c r="G29" s="157">
        <v>30939</v>
      </c>
      <c r="H29" s="157">
        <v>6253</v>
      </c>
      <c r="I29" s="157">
        <v>568657</v>
      </c>
    </row>
    <row r="30" spans="1:9" ht="15" customHeight="1" x14ac:dyDescent="0.2">
      <c r="A30" s="8" t="s">
        <v>294</v>
      </c>
      <c r="B30" s="156">
        <v>262365</v>
      </c>
      <c r="C30" s="156">
        <v>220049</v>
      </c>
      <c r="D30" s="156">
        <v>6219</v>
      </c>
      <c r="E30" s="156">
        <v>34744</v>
      </c>
      <c r="F30" s="156">
        <v>163041</v>
      </c>
      <c r="G30" s="156">
        <v>30160</v>
      </c>
      <c r="H30" s="156">
        <v>5698</v>
      </c>
      <c r="I30" s="156">
        <v>722276</v>
      </c>
    </row>
    <row r="31" spans="1:9" ht="15" customHeight="1" x14ac:dyDescent="0.2">
      <c r="A31" s="8" t="s">
        <v>295</v>
      </c>
      <c r="B31" s="156">
        <v>134697</v>
      </c>
      <c r="C31" s="156">
        <v>213943</v>
      </c>
      <c r="D31" s="156">
        <v>8051</v>
      </c>
      <c r="E31" s="156">
        <v>24376</v>
      </c>
      <c r="F31" s="156">
        <v>31861</v>
      </c>
      <c r="G31" s="156">
        <v>27455</v>
      </c>
      <c r="H31" s="156">
        <v>5385</v>
      </c>
      <c r="I31" s="156">
        <v>445768</v>
      </c>
    </row>
    <row r="32" spans="1:9" ht="15" customHeight="1" x14ac:dyDescent="0.2">
      <c r="A32" s="8" t="s">
        <v>360</v>
      </c>
      <c r="B32" s="156">
        <f>B90+B91+B92</f>
        <v>154268</v>
      </c>
      <c r="C32" s="156">
        <f t="shared" ref="C32:I32" si="13">C90+C91+C92</f>
        <v>233038</v>
      </c>
      <c r="D32" s="156">
        <f t="shared" si="13"/>
        <v>10000</v>
      </c>
      <c r="E32" s="156">
        <f t="shared" si="13"/>
        <v>26262</v>
      </c>
      <c r="F32" s="156">
        <f t="shared" si="13"/>
        <v>28374</v>
      </c>
      <c r="G32" s="156">
        <f t="shared" si="13"/>
        <v>29507</v>
      </c>
      <c r="H32" s="156">
        <f t="shared" si="13"/>
        <v>76001</v>
      </c>
      <c r="I32" s="156">
        <f t="shared" si="13"/>
        <v>557450</v>
      </c>
    </row>
    <row r="33" spans="1:9" ht="15" customHeight="1" x14ac:dyDescent="0.2">
      <c r="A33" s="8" t="s">
        <v>361</v>
      </c>
      <c r="B33" s="156">
        <f>B93+B94+B95</f>
        <v>200793</v>
      </c>
      <c r="C33" s="156">
        <f t="shared" ref="C33:H33" si="14">C93+C94+C95</f>
        <v>249318</v>
      </c>
      <c r="D33" s="156">
        <f t="shared" si="14"/>
        <v>8068</v>
      </c>
      <c r="E33" s="156">
        <f t="shared" si="14"/>
        <v>27907</v>
      </c>
      <c r="F33" s="156">
        <f t="shared" si="14"/>
        <v>107292</v>
      </c>
      <c r="G33" s="156">
        <f t="shared" si="14"/>
        <v>36291</v>
      </c>
      <c r="H33" s="156">
        <f t="shared" si="14"/>
        <v>7358</v>
      </c>
      <c r="I33" s="156">
        <f>I93+I94+I95</f>
        <v>637027</v>
      </c>
    </row>
    <row r="34" spans="1:9" ht="15" customHeight="1" x14ac:dyDescent="0.2">
      <c r="A34" s="9" t="s">
        <v>383</v>
      </c>
      <c r="B34" s="157">
        <f>B96+B97+B98</f>
        <v>272302</v>
      </c>
      <c r="C34" s="157">
        <f t="shared" ref="C34:I34" si="15">C96+C97+C98</f>
        <v>259954</v>
      </c>
      <c r="D34" s="157">
        <f t="shared" si="15"/>
        <v>4353</v>
      </c>
      <c r="E34" s="157">
        <f t="shared" si="15"/>
        <v>34849</v>
      </c>
      <c r="F34" s="157">
        <f t="shared" si="15"/>
        <v>127483</v>
      </c>
      <c r="G34" s="157">
        <f t="shared" si="15"/>
        <v>35857</v>
      </c>
      <c r="H34" s="157">
        <f t="shared" si="15"/>
        <v>5836</v>
      </c>
      <c r="I34" s="157">
        <f t="shared" si="15"/>
        <v>740634</v>
      </c>
    </row>
    <row r="35" spans="1:9" ht="15" customHeight="1" x14ac:dyDescent="0.2">
      <c r="A35" s="8"/>
      <c r="B35" s="120"/>
      <c r="C35" s="120"/>
      <c r="D35" s="120"/>
      <c r="E35" s="120"/>
      <c r="F35" s="120"/>
      <c r="G35" s="120"/>
      <c r="H35" s="120"/>
      <c r="I35" s="120"/>
    </row>
    <row r="36" spans="1:9" ht="15" customHeight="1" x14ac:dyDescent="0.2">
      <c r="A36" s="11">
        <v>44197</v>
      </c>
      <c r="B36" s="156">
        <v>55</v>
      </c>
      <c r="C36" s="156">
        <v>74</v>
      </c>
      <c r="D36" s="156">
        <v>0</v>
      </c>
      <c r="E36" s="156">
        <v>27</v>
      </c>
      <c r="F36" s="156">
        <v>1520</v>
      </c>
      <c r="G36" s="156">
        <v>6</v>
      </c>
      <c r="H36" s="156">
        <v>0</v>
      </c>
      <c r="I36" s="156">
        <v>1682</v>
      </c>
    </row>
    <row r="37" spans="1:9" ht="15" customHeight="1" x14ac:dyDescent="0.2">
      <c r="A37" s="11">
        <v>44228</v>
      </c>
      <c r="B37" s="156">
        <v>559</v>
      </c>
      <c r="C37" s="156">
        <v>272</v>
      </c>
      <c r="D37" s="156">
        <v>14</v>
      </c>
      <c r="E37" s="156">
        <v>149</v>
      </c>
      <c r="F37" s="156">
        <v>2327</v>
      </c>
      <c r="G37" s="156">
        <v>29</v>
      </c>
      <c r="H37" s="156">
        <v>16</v>
      </c>
      <c r="I37" s="156">
        <v>3366</v>
      </c>
    </row>
    <row r="38" spans="1:9" ht="15" customHeight="1" x14ac:dyDescent="0.2">
      <c r="A38" s="11">
        <v>44256</v>
      </c>
      <c r="B38" s="156">
        <v>1267</v>
      </c>
      <c r="C38" s="156">
        <v>603</v>
      </c>
      <c r="D38" s="156">
        <v>113</v>
      </c>
      <c r="E38" s="156">
        <v>304</v>
      </c>
      <c r="F38" s="156">
        <v>2217</v>
      </c>
      <c r="G38" s="156">
        <v>36</v>
      </c>
      <c r="H38" s="156">
        <v>41</v>
      </c>
      <c r="I38" s="156">
        <v>4581</v>
      </c>
    </row>
    <row r="39" spans="1:9" ht="15" customHeight="1" x14ac:dyDescent="0.2">
      <c r="A39" s="11">
        <v>44287</v>
      </c>
      <c r="B39" s="156">
        <v>1221</v>
      </c>
      <c r="C39" s="156">
        <v>1416</v>
      </c>
      <c r="D39" s="156">
        <v>86</v>
      </c>
      <c r="E39" s="156">
        <v>393</v>
      </c>
      <c r="F39" s="156">
        <v>899</v>
      </c>
      <c r="G39" s="156">
        <v>74</v>
      </c>
      <c r="H39" s="156">
        <v>79</v>
      </c>
      <c r="I39" s="156">
        <v>4168</v>
      </c>
    </row>
    <row r="40" spans="1:9" ht="15" customHeight="1" x14ac:dyDescent="0.2">
      <c r="A40" s="11">
        <v>44317</v>
      </c>
      <c r="B40" s="156">
        <v>567</v>
      </c>
      <c r="C40" s="156">
        <v>430</v>
      </c>
      <c r="D40" s="156">
        <v>64</v>
      </c>
      <c r="E40" s="156">
        <v>222</v>
      </c>
      <c r="F40" s="156">
        <v>159</v>
      </c>
      <c r="G40" s="156">
        <v>39</v>
      </c>
      <c r="H40" s="156">
        <v>16</v>
      </c>
      <c r="I40" s="156">
        <v>1497</v>
      </c>
    </row>
    <row r="41" spans="1:9" ht="15" customHeight="1" x14ac:dyDescent="0.2">
      <c r="A41" s="11">
        <v>44348</v>
      </c>
      <c r="B41" s="156">
        <v>1057</v>
      </c>
      <c r="C41" s="156">
        <v>253</v>
      </c>
      <c r="D41" s="156">
        <v>21</v>
      </c>
      <c r="E41" s="156">
        <v>186</v>
      </c>
      <c r="F41" s="156">
        <v>68</v>
      </c>
      <c r="G41" s="156">
        <v>22</v>
      </c>
      <c r="H41" s="156">
        <v>7</v>
      </c>
      <c r="I41" s="156">
        <v>1614</v>
      </c>
    </row>
    <row r="42" spans="1:9" ht="15" customHeight="1" x14ac:dyDescent="0.2">
      <c r="A42" s="11">
        <v>44378</v>
      </c>
      <c r="B42" s="156">
        <v>1161</v>
      </c>
      <c r="C42" s="156">
        <v>633</v>
      </c>
      <c r="D42" s="156">
        <v>47</v>
      </c>
      <c r="E42" s="156">
        <v>420</v>
      </c>
      <c r="F42" s="156">
        <v>135</v>
      </c>
      <c r="G42" s="156">
        <v>17</v>
      </c>
      <c r="H42" s="156">
        <v>16</v>
      </c>
      <c r="I42" s="156">
        <v>2429</v>
      </c>
    </row>
    <row r="43" spans="1:9" ht="15" customHeight="1" x14ac:dyDescent="0.2">
      <c r="A43" s="11">
        <v>44409</v>
      </c>
      <c r="B43" s="156">
        <v>2022</v>
      </c>
      <c r="C43" s="156">
        <v>1565</v>
      </c>
      <c r="D43" s="156">
        <v>84</v>
      </c>
      <c r="E43" s="156">
        <v>908</v>
      </c>
      <c r="F43" s="156">
        <v>403</v>
      </c>
      <c r="G43" s="156">
        <v>37</v>
      </c>
      <c r="H43" s="156">
        <v>21</v>
      </c>
      <c r="I43" s="156">
        <v>5040</v>
      </c>
    </row>
    <row r="44" spans="1:9" ht="15" customHeight="1" x14ac:dyDescent="0.2">
      <c r="A44" s="11">
        <v>44440</v>
      </c>
      <c r="B44" s="156">
        <v>1867</v>
      </c>
      <c r="C44" s="156">
        <v>10655</v>
      </c>
      <c r="D44" s="156">
        <v>58</v>
      </c>
      <c r="E44" s="156">
        <v>419</v>
      </c>
      <c r="F44" s="156">
        <v>483</v>
      </c>
      <c r="G44" s="156">
        <v>30</v>
      </c>
      <c r="H44" s="156">
        <v>35</v>
      </c>
      <c r="I44" s="156">
        <v>13547</v>
      </c>
    </row>
    <row r="45" spans="1:9" ht="15" customHeight="1" x14ac:dyDescent="0.2">
      <c r="A45" s="11">
        <v>44470</v>
      </c>
      <c r="B45" s="156">
        <v>6237</v>
      </c>
      <c r="C45" s="156">
        <v>12698</v>
      </c>
      <c r="D45" s="156">
        <v>302</v>
      </c>
      <c r="E45" s="156">
        <v>1271</v>
      </c>
      <c r="F45" s="156">
        <v>2023</v>
      </c>
      <c r="G45" s="156">
        <v>146</v>
      </c>
      <c r="H45" s="156">
        <v>94</v>
      </c>
      <c r="I45" s="156">
        <v>22771</v>
      </c>
    </row>
    <row r="46" spans="1:9" ht="15" customHeight="1" x14ac:dyDescent="0.2">
      <c r="A46" s="11">
        <v>44501</v>
      </c>
      <c r="B46" s="156">
        <v>12565</v>
      </c>
      <c r="C46" s="156">
        <v>20595</v>
      </c>
      <c r="D46" s="156">
        <v>1408</v>
      </c>
      <c r="E46" s="156">
        <v>2352</v>
      </c>
      <c r="F46" s="156">
        <v>5980</v>
      </c>
      <c r="G46" s="156">
        <v>1028</v>
      </c>
      <c r="H46" s="156">
        <v>366</v>
      </c>
      <c r="I46" s="156">
        <v>44294</v>
      </c>
    </row>
    <row r="47" spans="1:9" ht="15" customHeight="1" x14ac:dyDescent="0.2">
      <c r="A47" s="11">
        <v>44531</v>
      </c>
      <c r="B47" s="156">
        <v>26789</v>
      </c>
      <c r="C47" s="156">
        <v>29965</v>
      </c>
      <c r="D47" s="156">
        <v>2255</v>
      </c>
      <c r="E47" s="156">
        <v>4630</v>
      </c>
      <c r="F47" s="156">
        <v>21915</v>
      </c>
      <c r="G47" s="156">
        <v>3303</v>
      </c>
      <c r="H47" s="156">
        <v>649</v>
      </c>
      <c r="I47" s="156">
        <v>89506</v>
      </c>
    </row>
    <row r="48" spans="1:9" ht="15" customHeight="1" x14ac:dyDescent="0.2">
      <c r="A48" s="10">
        <v>44562</v>
      </c>
      <c r="B48" s="157">
        <v>25321</v>
      </c>
      <c r="C48" s="157">
        <v>16603</v>
      </c>
      <c r="D48" s="157">
        <v>2080</v>
      </c>
      <c r="E48" s="157">
        <v>3516</v>
      </c>
      <c r="F48" s="157">
        <v>31284</v>
      </c>
      <c r="G48" s="157">
        <v>2928</v>
      </c>
      <c r="H48" s="157">
        <v>595</v>
      </c>
      <c r="I48" s="157">
        <v>82327</v>
      </c>
    </row>
    <row r="49" spans="1:9" ht="15" customHeight="1" x14ac:dyDescent="0.2">
      <c r="A49" s="10">
        <v>44593</v>
      </c>
      <c r="B49" s="157">
        <v>35746</v>
      </c>
      <c r="C49" s="157">
        <v>17039</v>
      </c>
      <c r="D49" s="157">
        <v>2383</v>
      </c>
      <c r="E49" s="157">
        <v>3846</v>
      </c>
      <c r="F49" s="157">
        <v>34950</v>
      </c>
      <c r="G49" s="157">
        <v>1823</v>
      </c>
      <c r="H49" s="157">
        <v>720</v>
      </c>
      <c r="I49" s="157">
        <v>96507</v>
      </c>
    </row>
    <row r="50" spans="1:9" ht="15" customHeight="1" x14ac:dyDescent="0.2">
      <c r="A50" s="10">
        <v>44621</v>
      </c>
      <c r="B50" s="157">
        <v>40169</v>
      </c>
      <c r="C50" s="157">
        <v>31497</v>
      </c>
      <c r="D50" s="157">
        <v>3333</v>
      </c>
      <c r="E50" s="157">
        <v>6146</v>
      </c>
      <c r="F50" s="157">
        <v>21661</v>
      </c>
      <c r="G50" s="157">
        <v>2616</v>
      </c>
      <c r="H50" s="157">
        <v>1078</v>
      </c>
      <c r="I50" s="157">
        <v>106500</v>
      </c>
    </row>
    <row r="51" spans="1:9" ht="15" customHeight="1" x14ac:dyDescent="0.2">
      <c r="A51" s="10">
        <v>44652</v>
      </c>
      <c r="B51" s="157">
        <v>33750</v>
      </c>
      <c r="C51" s="157">
        <v>11626</v>
      </c>
      <c r="D51" s="157">
        <v>1068</v>
      </c>
      <c r="E51" s="157">
        <v>3990</v>
      </c>
      <c r="F51" s="157">
        <v>7938</v>
      </c>
      <c r="G51" s="157">
        <v>3839</v>
      </c>
      <c r="H51" s="157">
        <v>769</v>
      </c>
      <c r="I51" s="157">
        <v>62980</v>
      </c>
    </row>
    <row r="52" spans="1:9" ht="15" customHeight="1" x14ac:dyDescent="0.2">
      <c r="A52" s="10">
        <v>44682</v>
      </c>
      <c r="B52" s="157">
        <v>10683</v>
      </c>
      <c r="C52" s="157">
        <v>8227</v>
      </c>
      <c r="D52" s="157">
        <v>1534</v>
      </c>
      <c r="E52" s="157">
        <v>3399</v>
      </c>
      <c r="F52" s="157">
        <v>4062</v>
      </c>
      <c r="G52" s="157">
        <v>1842</v>
      </c>
      <c r="H52" s="157">
        <v>460</v>
      </c>
      <c r="I52" s="157">
        <v>30207</v>
      </c>
    </row>
    <row r="53" spans="1:9" ht="15" customHeight="1" x14ac:dyDescent="0.2">
      <c r="A53" s="10">
        <v>44713</v>
      </c>
      <c r="B53" s="157">
        <v>12900</v>
      </c>
      <c r="C53" s="157">
        <v>9705</v>
      </c>
      <c r="D53" s="157">
        <v>790</v>
      </c>
      <c r="E53" s="157">
        <v>3967</v>
      </c>
      <c r="F53" s="157">
        <v>2530</v>
      </c>
      <c r="G53" s="157">
        <v>2667</v>
      </c>
      <c r="H53" s="157">
        <v>297</v>
      </c>
      <c r="I53" s="157">
        <v>32856</v>
      </c>
    </row>
    <row r="54" spans="1:9" ht="15" customHeight="1" x14ac:dyDescent="0.2">
      <c r="A54" s="10">
        <v>44743</v>
      </c>
      <c r="B54" s="157">
        <v>26718</v>
      </c>
      <c r="C54" s="157">
        <v>8856</v>
      </c>
      <c r="D54" s="157">
        <v>1277</v>
      </c>
      <c r="E54" s="157">
        <v>4945</v>
      </c>
      <c r="F54" s="157">
        <v>2966</v>
      </c>
      <c r="G54" s="157">
        <v>2223</v>
      </c>
      <c r="H54" s="157">
        <v>308</v>
      </c>
      <c r="I54" s="157">
        <v>47293</v>
      </c>
    </row>
    <row r="55" spans="1:9" ht="15" customHeight="1" x14ac:dyDescent="0.2">
      <c r="A55" s="10">
        <v>44774</v>
      </c>
      <c r="B55" s="157">
        <v>20071</v>
      </c>
      <c r="C55" s="157">
        <v>8513</v>
      </c>
      <c r="D55" s="157">
        <v>823</v>
      </c>
      <c r="E55" s="157">
        <v>3701</v>
      </c>
      <c r="F55" s="157">
        <v>2302</v>
      </c>
      <c r="G55" s="157">
        <v>2069</v>
      </c>
      <c r="H55" s="157">
        <v>281</v>
      </c>
      <c r="I55" s="157">
        <v>37760</v>
      </c>
    </row>
    <row r="56" spans="1:9" ht="15" customHeight="1" x14ac:dyDescent="0.2">
      <c r="A56" s="10">
        <v>44805</v>
      </c>
      <c r="B56" s="157">
        <v>10918</v>
      </c>
      <c r="C56" s="157">
        <v>10696</v>
      </c>
      <c r="D56" s="157">
        <v>573</v>
      </c>
      <c r="E56" s="157">
        <v>2556</v>
      </c>
      <c r="F56" s="157">
        <v>2300</v>
      </c>
      <c r="G56" s="157">
        <v>2506</v>
      </c>
      <c r="H56" s="157">
        <v>253</v>
      </c>
      <c r="I56" s="157">
        <v>29802</v>
      </c>
    </row>
    <row r="57" spans="1:9" ht="15" customHeight="1" x14ac:dyDescent="0.2">
      <c r="A57" s="10">
        <v>44835</v>
      </c>
      <c r="B57" s="157">
        <v>13758</v>
      </c>
      <c r="C57" s="157">
        <v>14072</v>
      </c>
      <c r="D57" s="157">
        <v>967</v>
      </c>
      <c r="E57" s="157">
        <v>2907</v>
      </c>
      <c r="F57" s="157">
        <v>7585</v>
      </c>
      <c r="G57" s="157">
        <v>2357</v>
      </c>
      <c r="H57" s="157">
        <v>380</v>
      </c>
      <c r="I57" s="157">
        <v>42026</v>
      </c>
    </row>
    <row r="58" spans="1:9" ht="15" customHeight="1" x14ac:dyDescent="0.2">
      <c r="A58" s="10">
        <v>44866</v>
      </c>
      <c r="B58" s="157">
        <v>17365</v>
      </c>
      <c r="C58" s="157">
        <v>16136</v>
      </c>
      <c r="D58" s="157">
        <v>1277</v>
      </c>
      <c r="E58" s="157">
        <v>4116</v>
      </c>
      <c r="F58" s="157">
        <v>17062</v>
      </c>
      <c r="G58" s="157">
        <v>3252</v>
      </c>
      <c r="H58" s="157">
        <v>551</v>
      </c>
      <c r="I58" s="157">
        <v>59759</v>
      </c>
    </row>
    <row r="59" spans="1:9" ht="15" customHeight="1" x14ac:dyDescent="0.2">
      <c r="A59" s="10">
        <v>44896</v>
      </c>
      <c r="B59" s="157">
        <v>25765</v>
      </c>
      <c r="C59" s="157">
        <v>26694</v>
      </c>
      <c r="D59" s="157">
        <v>2002</v>
      </c>
      <c r="E59" s="157">
        <v>6320</v>
      </c>
      <c r="F59" s="157">
        <v>24422</v>
      </c>
      <c r="G59" s="157">
        <v>5761</v>
      </c>
      <c r="H59" s="157">
        <v>997</v>
      </c>
      <c r="I59" s="157">
        <v>91961</v>
      </c>
    </row>
    <row r="60" spans="1:9" ht="15" customHeight="1" x14ac:dyDescent="0.2">
      <c r="A60" s="11">
        <v>44927</v>
      </c>
      <c r="B60" s="156">
        <v>35117</v>
      </c>
      <c r="C60" s="156">
        <v>21939</v>
      </c>
      <c r="D60" s="156">
        <v>1570</v>
      </c>
      <c r="E60" s="156">
        <v>6336</v>
      </c>
      <c r="F60" s="156">
        <v>32738</v>
      </c>
      <c r="G60" s="156">
        <v>4070</v>
      </c>
      <c r="H60" s="156">
        <v>775</v>
      </c>
      <c r="I60" s="156">
        <v>102545</v>
      </c>
    </row>
    <row r="61" spans="1:9" ht="15" customHeight="1" x14ac:dyDescent="0.2">
      <c r="A61" s="11">
        <v>44958</v>
      </c>
      <c r="B61" s="156">
        <v>36229</v>
      </c>
      <c r="C61" s="156">
        <v>23064</v>
      </c>
      <c r="D61" s="156">
        <v>1856</v>
      </c>
      <c r="E61" s="156">
        <v>5590</v>
      </c>
      <c r="F61" s="156">
        <v>36728</v>
      </c>
      <c r="G61" s="156">
        <v>3471</v>
      </c>
      <c r="H61" s="156">
        <v>701</v>
      </c>
      <c r="I61" s="156">
        <v>107639</v>
      </c>
    </row>
    <row r="62" spans="1:9" ht="15" customHeight="1" x14ac:dyDescent="0.2">
      <c r="A62" s="11">
        <v>44986</v>
      </c>
      <c r="B62" s="156">
        <v>39532</v>
      </c>
      <c r="C62" s="156">
        <v>33591</v>
      </c>
      <c r="D62" s="156">
        <v>1810</v>
      </c>
      <c r="E62" s="156">
        <v>9847</v>
      </c>
      <c r="F62" s="156">
        <v>34390</v>
      </c>
      <c r="G62" s="156">
        <v>5294</v>
      </c>
      <c r="H62" s="156">
        <v>1031</v>
      </c>
      <c r="I62" s="156">
        <v>125495</v>
      </c>
    </row>
    <row r="63" spans="1:9" ht="15" customHeight="1" x14ac:dyDescent="0.2">
      <c r="A63" s="11">
        <v>45017</v>
      </c>
      <c r="B63" s="156">
        <v>35076</v>
      </c>
      <c r="C63" s="156">
        <v>34101</v>
      </c>
      <c r="D63" s="156">
        <v>2438</v>
      </c>
      <c r="E63" s="156">
        <v>7332</v>
      </c>
      <c r="F63" s="156">
        <v>19663</v>
      </c>
      <c r="G63" s="156">
        <v>5633</v>
      </c>
      <c r="H63" s="156">
        <v>1255</v>
      </c>
      <c r="I63" s="156">
        <v>105498</v>
      </c>
    </row>
    <row r="64" spans="1:9" ht="15" customHeight="1" x14ac:dyDescent="0.2">
      <c r="A64" s="11">
        <v>45047</v>
      </c>
      <c r="B64" s="156">
        <v>22634</v>
      </c>
      <c r="C64" s="156">
        <v>36493</v>
      </c>
      <c r="D64" s="156">
        <v>1527</v>
      </c>
      <c r="E64" s="156">
        <v>7039</v>
      </c>
      <c r="F64" s="156">
        <v>10136</v>
      </c>
      <c r="G64" s="156">
        <v>4756</v>
      </c>
      <c r="H64" s="156">
        <v>724</v>
      </c>
      <c r="I64" s="156">
        <v>83309</v>
      </c>
    </row>
    <row r="65" spans="1:20" ht="15" customHeight="1" x14ac:dyDescent="0.2">
      <c r="A65" s="11">
        <v>45078</v>
      </c>
      <c r="B65" s="156">
        <v>26504</v>
      </c>
      <c r="C65" s="156">
        <v>44027</v>
      </c>
      <c r="D65" s="156">
        <v>2822</v>
      </c>
      <c r="E65" s="156">
        <v>8349</v>
      </c>
      <c r="F65" s="156">
        <v>10498</v>
      </c>
      <c r="G65" s="156">
        <v>7075</v>
      </c>
      <c r="H65" s="156">
        <v>1113</v>
      </c>
      <c r="I65" s="156">
        <v>100388</v>
      </c>
    </row>
    <row r="66" spans="1:20" ht="15" customHeight="1" x14ac:dyDescent="0.2">
      <c r="A66" s="11">
        <v>45108</v>
      </c>
      <c r="B66" s="156">
        <v>60281</v>
      </c>
      <c r="C66" s="156">
        <v>49020</v>
      </c>
      <c r="D66" s="156">
        <v>4601</v>
      </c>
      <c r="E66" s="156">
        <v>9901</v>
      </c>
      <c r="F66" s="156">
        <v>11829</v>
      </c>
      <c r="G66" s="156">
        <v>6082</v>
      </c>
      <c r="H66" s="156">
        <v>1325</v>
      </c>
      <c r="I66" s="156">
        <v>143039</v>
      </c>
    </row>
    <row r="67" spans="1:20" ht="15" customHeight="1" x14ac:dyDescent="0.2">
      <c r="A67" s="11">
        <v>45139</v>
      </c>
      <c r="B67" s="156">
        <v>53349</v>
      </c>
      <c r="C67" s="156">
        <v>53873</v>
      </c>
      <c r="D67" s="156">
        <v>3284</v>
      </c>
      <c r="E67" s="156">
        <v>7887</v>
      </c>
      <c r="F67" s="156">
        <v>10499</v>
      </c>
      <c r="G67" s="156">
        <v>6133</v>
      </c>
      <c r="H67" s="156">
        <v>1380</v>
      </c>
      <c r="I67" s="156">
        <v>136405</v>
      </c>
    </row>
    <row r="68" spans="1:20" ht="15" customHeight="1" x14ac:dyDescent="0.2">
      <c r="A68" s="11">
        <v>45170</v>
      </c>
      <c r="B68" s="156">
        <v>34632</v>
      </c>
      <c r="C68" s="156">
        <v>51759</v>
      </c>
      <c r="D68" s="156">
        <v>1728</v>
      </c>
      <c r="E68" s="156">
        <v>4902</v>
      </c>
      <c r="F68" s="156">
        <v>11364</v>
      </c>
      <c r="G68" s="156">
        <v>6632</v>
      </c>
      <c r="H68" s="156">
        <v>921</v>
      </c>
      <c r="I68" s="156">
        <v>111938</v>
      </c>
    </row>
    <row r="69" spans="1:20" ht="15" customHeight="1" x14ac:dyDescent="0.2">
      <c r="A69" s="11">
        <v>45200</v>
      </c>
      <c r="B69" s="156">
        <v>31697</v>
      </c>
      <c r="C69" s="156">
        <v>48147</v>
      </c>
      <c r="D69" s="156">
        <v>1631</v>
      </c>
      <c r="E69" s="156">
        <v>5007</v>
      </c>
      <c r="F69" s="156">
        <v>16077</v>
      </c>
      <c r="G69" s="156">
        <v>5562</v>
      </c>
      <c r="H69" s="156">
        <v>1078</v>
      </c>
      <c r="I69" s="156">
        <v>109199</v>
      </c>
    </row>
    <row r="70" spans="1:20" ht="15" customHeight="1" x14ac:dyDescent="0.2">
      <c r="A70" s="11">
        <v>45231</v>
      </c>
      <c r="B70" s="156">
        <v>43751</v>
      </c>
      <c r="C70" s="156">
        <v>52281</v>
      </c>
      <c r="D70" s="156">
        <v>2088</v>
      </c>
      <c r="E70" s="156">
        <v>7059</v>
      </c>
      <c r="F70" s="156">
        <v>36395</v>
      </c>
      <c r="G70" s="156">
        <v>8673</v>
      </c>
      <c r="H70" s="156">
        <v>1249</v>
      </c>
      <c r="I70" s="156">
        <v>151496</v>
      </c>
    </row>
    <row r="71" spans="1:20" ht="15" customHeight="1" x14ac:dyDescent="0.2">
      <c r="A71" s="11">
        <v>45261</v>
      </c>
      <c r="B71" s="156">
        <v>61604</v>
      </c>
      <c r="C71" s="156">
        <v>73003</v>
      </c>
      <c r="D71" s="156">
        <v>2475</v>
      </c>
      <c r="E71" s="156">
        <v>11831</v>
      </c>
      <c r="F71" s="156">
        <v>46580</v>
      </c>
      <c r="G71" s="156">
        <v>12254</v>
      </c>
      <c r="H71" s="156">
        <v>2605</v>
      </c>
      <c r="I71" s="156">
        <v>210352</v>
      </c>
    </row>
    <row r="72" spans="1:20" ht="15" customHeight="1" x14ac:dyDescent="0.2">
      <c r="A72" s="10" t="s">
        <v>347</v>
      </c>
      <c r="B72" s="157">
        <v>67594</v>
      </c>
      <c r="C72" s="157">
        <v>61504</v>
      </c>
      <c r="D72" s="157">
        <v>2203</v>
      </c>
      <c r="E72" s="157">
        <v>9934</v>
      </c>
      <c r="F72" s="157">
        <v>58031</v>
      </c>
      <c r="G72" s="157">
        <v>7399</v>
      </c>
      <c r="H72" s="157">
        <v>1588</v>
      </c>
      <c r="I72" s="157">
        <v>208253</v>
      </c>
      <c r="K72" s="100"/>
      <c r="L72" s="100"/>
      <c r="M72" s="100"/>
      <c r="N72" s="100"/>
      <c r="O72" s="100"/>
      <c r="P72" s="100"/>
      <c r="Q72" s="100"/>
      <c r="R72" s="100"/>
      <c r="S72" s="100"/>
      <c r="T72" s="100"/>
    </row>
    <row r="73" spans="1:20" ht="15" customHeight="1" x14ac:dyDescent="0.2">
      <c r="A73" s="10" t="s">
        <v>348</v>
      </c>
      <c r="B73" s="157">
        <v>77554</v>
      </c>
      <c r="C73" s="157">
        <v>63270</v>
      </c>
      <c r="D73" s="157">
        <v>2453</v>
      </c>
      <c r="E73" s="157">
        <v>9716</v>
      </c>
      <c r="F73" s="157">
        <v>56833</v>
      </c>
      <c r="G73" s="157">
        <v>6845</v>
      </c>
      <c r="H73" s="157">
        <v>1679</v>
      </c>
      <c r="I73" s="157">
        <v>218350</v>
      </c>
      <c r="K73" s="100"/>
      <c r="L73" s="100"/>
      <c r="M73" s="100"/>
      <c r="N73" s="100"/>
      <c r="O73" s="100"/>
      <c r="P73" s="100"/>
      <c r="Q73" s="100"/>
      <c r="R73" s="100"/>
    </row>
    <row r="74" spans="1:20" ht="15" customHeight="1" x14ac:dyDescent="0.2">
      <c r="A74" s="10" t="s">
        <v>349</v>
      </c>
      <c r="B74" s="157">
        <v>75530</v>
      </c>
      <c r="C74" s="157">
        <v>62362</v>
      </c>
      <c r="D74" s="157">
        <v>761</v>
      </c>
      <c r="E74" s="157">
        <v>11762</v>
      </c>
      <c r="F74" s="157">
        <v>47070</v>
      </c>
      <c r="G74" s="157">
        <v>9933</v>
      </c>
      <c r="H74" s="157">
        <v>1763</v>
      </c>
      <c r="I74" s="157">
        <v>209181</v>
      </c>
    </row>
    <row r="75" spans="1:20" ht="15" customHeight="1" x14ac:dyDescent="0.2">
      <c r="A75" s="10" t="s">
        <v>350</v>
      </c>
      <c r="B75" s="157">
        <v>53088</v>
      </c>
      <c r="C75" s="157">
        <v>50025</v>
      </c>
      <c r="D75" s="157">
        <v>2865</v>
      </c>
      <c r="E75" s="157">
        <v>9323</v>
      </c>
      <c r="F75" s="157">
        <v>23162</v>
      </c>
      <c r="G75" s="157">
        <v>8353</v>
      </c>
      <c r="H75" s="157">
        <v>2051</v>
      </c>
      <c r="I75" s="157">
        <v>148867</v>
      </c>
    </row>
    <row r="76" spans="1:20" ht="15" customHeight="1" x14ac:dyDescent="0.2">
      <c r="A76" s="10" t="s">
        <v>351</v>
      </c>
      <c r="B76" s="157">
        <v>30400</v>
      </c>
      <c r="C76" s="157">
        <v>58626</v>
      </c>
      <c r="D76" s="157">
        <v>1513</v>
      </c>
      <c r="E76" s="157">
        <v>7433</v>
      </c>
      <c r="F76" s="157">
        <v>6957</v>
      </c>
      <c r="G76" s="157">
        <v>6147</v>
      </c>
      <c r="H76" s="157">
        <v>1052</v>
      </c>
      <c r="I76" s="157">
        <v>112128</v>
      </c>
    </row>
    <row r="77" spans="1:20" ht="15" customHeight="1" x14ac:dyDescent="0.2">
      <c r="A77" s="10" t="s">
        <v>352</v>
      </c>
      <c r="B77" s="157">
        <v>31591</v>
      </c>
      <c r="C77" s="157">
        <v>55843</v>
      </c>
      <c r="D77" s="157">
        <v>3679</v>
      </c>
      <c r="E77" s="157">
        <v>7324</v>
      </c>
      <c r="F77" s="157">
        <v>6398</v>
      </c>
      <c r="G77" s="157">
        <v>7215</v>
      </c>
      <c r="H77" s="157">
        <v>1420</v>
      </c>
      <c r="I77" s="157">
        <v>113470</v>
      </c>
    </row>
    <row r="78" spans="1:20" ht="15" customHeight="1" x14ac:dyDescent="0.2">
      <c r="A78" s="10" t="s">
        <v>353</v>
      </c>
      <c r="B78" s="157">
        <v>80737</v>
      </c>
      <c r="C78" s="157">
        <v>72618</v>
      </c>
      <c r="D78" s="157">
        <v>4487</v>
      </c>
      <c r="E78" s="157">
        <v>9827</v>
      </c>
      <c r="F78" s="157">
        <v>10056</v>
      </c>
      <c r="G78" s="157">
        <v>8407</v>
      </c>
      <c r="H78" s="157">
        <v>1678</v>
      </c>
      <c r="I78" s="157">
        <v>187810</v>
      </c>
      <c r="K78" s="100"/>
      <c r="L78" s="100"/>
      <c r="M78" s="100"/>
      <c r="N78" s="100"/>
      <c r="O78" s="100"/>
      <c r="P78" s="100"/>
      <c r="Q78" s="100"/>
      <c r="R78" s="100"/>
    </row>
    <row r="79" spans="1:20" ht="15" customHeight="1" x14ac:dyDescent="0.2">
      <c r="A79" s="10" t="s">
        <v>354</v>
      </c>
      <c r="B79" s="157">
        <v>71624</v>
      </c>
      <c r="C79" s="157">
        <v>64129</v>
      </c>
      <c r="D79" s="157">
        <v>2784</v>
      </c>
      <c r="E79" s="157">
        <v>7465</v>
      </c>
      <c r="F79" s="157">
        <v>9310</v>
      </c>
      <c r="G79" s="157">
        <v>7722</v>
      </c>
      <c r="H79" s="157">
        <v>1575</v>
      </c>
      <c r="I79" s="157">
        <v>164609</v>
      </c>
      <c r="K79" s="100"/>
      <c r="L79" s="100"/>
      <c r="M79" s="100"/>
      <c r="N79" s="100"/>
      <c r="O79" s="100"/>
      <c r="P79" s="100"/>
      <c r="Q79" s="100"/>
      <c r="R79" s="100"/>
    </row>
    <row r="80" spans="1:20" ht="15" customHeight="1" x14ac:dyDescent="0.2">
      <c r="A80" s="10" t="s">
        <v>355</v>
      </c>
      <c r="B80" s="157">
        <v>41315</v>
      </c>
      <c r="C80" s="157">
        <v>56479</v>
      </c>
      <c r="D80" s="157">
        <v>1604</v>
      </c>
      <c r="E80" s="157">
        <v>4655</v>
      </c>
      <c r="F80" s="157">
        <v>8565</v>
      </c>
      <c r="G80" s="157">
        <v>8285</v>
      </c>
      <c r="H80" s="157">
        <v>1237</v>
      </c>
      <c r="I80" s="157">
        <v>122140</v>
      </c>
    </row>
    <row r="81" spans="1:9" ht="15" customHeight="1" x14ac:dyDescent="0.2">
      <c r="A81" s="10" t="s">
        <v>356</v>
      </c>
      <c r="B81" s="157">
        <v>41604</v>
      </c>
      <c r="C81" s="157">
        <v>61156</v>
      </c>
      <c r="D81" s="157">
        <v>1711</v>
      </c>
      <c r="E81" s="157">
        <v>5599</v>
      </c>
      <c r="F81" s="157">
        <v>16973</v>
      </c>
      <c r="G81" s="157">
        <v>7330</v>
      </c>
      <c r="H81" s="157">
        <v>1534</v>
      </c>
      <c r="I81" s="157">
        <v>135907</v>
      </c>
    </row>
    <row r="82" spans="1:9" ht="15" customHeight="1" x14ac:dyDescent="0.2">
      <c r="A82" s="10" t="s">
        <v>357</v>
      </c>
      <c r="B82" s="157">
        <v>54742</v>
      </c>
      <c r="C82" s="157">
        <v>66348</v>
      </c>
      <c r="D82" s="157">
        <v>2512</v>
      </c>
      <c r="E82" s="157">
        <v>7644</v>
      </c>
      <c r="F82" s="157">
        <v>42399</v>
      </c>
      <c r="G82" s="157">
        <v>8893</v>
      </c>
      <c r="H82" s="157">
        <v>1620</v>
      </c>
      <c r="I82" s="157">
        <v>184158</v>
      </c>
    </row>
    <row r="83" spans="1:9" ht="15" customHeight="1" x14ac:dyDescent="0.2">
      <c r="A83" s="10" t="s">
        <v>358</v>
      </c>
      <c r="B83" s="157">
        <v>73783</v>
      </c>
      <c r="C83" s="157">
        <v>87102</v>
      </c>
      <c r="D83" s="157">
        <v>2633</v>
      </c>
      <c r="E83" s="157">
        <v>12130</v>
      </c>
      <c r="F83" s="157">
        <v>55129</v>
      </c>
      <c r="G83" s="157">
        <v>14716</v>
      </c>
      <c r="H83" s="157">
        <v>3099</v>
      </c>
      <c r="I83" s="157">
        <v>248592</v>
      </c>
    </row>
    <row r="84" spans="1:9" ht="15" customHeight="1" x14ac:dyDescent="0.2">
      <c r="A84" s="11" t="s">
        <v>296</v>
      </c>
      <c r="B84" s="156">
        <v>86200</v>
      </c>
      <c r="C84" s="156">
        <v>80553</v>
      </c>
      <c r="D84" s="156">
        <v>2089</v>
      </c>
      <c r="E84" s="156">
        <v>11607</v>
      </c>
      <c r="F84" s="156">
        <v>59847</v>
      </c>
      <c r="G84" s="156">
        <v>10601</v>
      </c>
      <c r="H84" s="156">
        <v>1864</v>
      </c>
      <c r="I84" s="156">
        <v>252761</v>
      </c>
    </row>
    <row r="85" spans="1:9" ht="15" customHeight="1" x14ac:dyDescent="0.2">
      <c r="A85" s="11" t="s">
        <v>297</v>
      </c>
      <c r="B85" s="156">
        <v>92952</v>
      </c>
      <c r="C85" s="156">
        <v>67281</v>
      </c>
      <c r="D85" s="156">
        <v>2343</v>
      </c>
      <c r="E85" s="156">
        <v>11107</v>
      </c>
      <c r="F85" s="156">
        <v>55222</v>
      </c>
      <c r="G85" s="156">
        <v>9549</v>
      </c>
      <c r="H85" s="156">
        <v>1763</v>
      </c>
      <c r="I85" s="156">
        <v>240217</v>
      </c>
    </row>
    <row r="86" spans="1:9" ht="15" customHeight="1" x14ac:dyDescent="0.2">
      <c r="A86" s="11" t="s">
        <v>298</v>
      </c>
      <c r="B86" s="156">
        <v>83213</v>
      </c>
      <c r="C86" s="156">
        <v>72215</v>
      </c>
      <c r="D86" s="156">
        <v>1787</v>
      </c>
      <c r="E86" s="156">
        <v>12030</v>
      </c>
      <c r="F86" s="156">
        <v>47972</v>
      </c>
      <c r="G86" s="156">
        <v>10010</v>
      </c>
      <c r="H86" s="156">
        <v>2071</v>
      </c>
      <c r="I86" s="156">
        <v>229298</v>
      </c>
    </row>
    <row r="87" spans="1:9" ht="15" customHeight="1" x14ac:dyDescent="0.2">
      <c r="A87" s="11" t="s">
        <v>299</v>
      </c>
      <c r="B87" s="156">
        <v>63372</v>
      </c>
      <c r="C87" s="156">
        <v>66629</v>
      </c>
      <c r="D87" s="156">
        <v>2619</v>
      </c>
      <c r="E87" s="156">
        <v>7547</v>
      </c>
      <c r="F87" s="156">
        <v>20358</v>
      </c>
      <c r="G87" s="156">
        <v>12249</v>
      </c>
      <c r="H87" s="156">
        <v>1834</v>
      </c>
      <c r="I87" s="156">
        <v>174608</v>
      </c>
    </row>
    <row r="88" spans="1:9" ht="15" customHeight="1" x14ac:dyDescent="0.2">
      <c r="A88" s="11" t="s">
        <v>300</v>
      </c>
      <c r="B88" s="156">
        <v>33621</v>
      </c>
      <c r="C88" s="156">
        <v>75540</v>
      </c>
      <c r="D88" s="156">
        <v>1953</v>
      </c>
      <c r="E88" s="156">
        <v>7107</v>
      </c>
      <c r="F88" s="156">
        <v>6487</v>
      </c>
      <c r="G88" s="156">
        <v>6802</v>
      </c>
      <c r="H88" s="156">
        <v>1409</v>
      </c>
      <c r="I88" s="156">
        <v>132919</v>
      </c>
    </row>
    <row r="89" spans="1:9" ht="15" customHeight="1" x14ac:dyDescent="0.2">
      <c r="A89" s="11" t="s">
        <v>301</v>
      </c>
      <c r="B89" s="156">
        <v>37704</v>
      </c>
      <c r="C89" s="156">
        <v>71774</v>
      </c>
      <c r="D89" s="156">
        <v>3479</v>
      </c>
      <c r="E89" s="156">
        <v>9722</v>
      </c>
      <c r="F89" s="156">
        <v>5016</v>
      </c>
      <c r="G89" s="156">
        <v>8404</v>
      </c>
      <c r="H89" s="156">
        <v>2142</v>
      </c>
      <c r="I89" s="156">
        <v>138241</v>
      </c>
    </row>
    <row r="90" spans="1:9" ht="15" customHeight="1" x14ac:dyDescent="0.2">
      <c r="A90" s="11" t="s">
        <v>363</v>
      </c>
      <c r="B90" s="156">
        <f>103349-9942</f>
        <v>93407</v>
      </c>
      <c r="C90" s="156">
        <f>80272-10249</f>
        <v>70023</v>
      </c>
      <c r="D90" s="156">
        <v>4188</v>
      </c>
      <c r="E90" s="156">
        <v>10728</v>
      </c>
      <c r="F90" s="156">
        <v>9942</v>
      </c>
      <c r="G90" s="156">
        <v>10249</v>
      </c>
      <c r="H90" s="156">
        <f>I90-G90-F90-E90-D90-C90-B90</f>
        <v>1707</v>
      </c>
      <c r="I90" s="156">
        <v>200244</v>
      </c>
    </row>
    <row r="91" spans="1:9" ht="15" customHeight="1" x14ac:dyDescent="0.2">
      <c r="A91" s="11" t="s">
        <v>364</v>
      </c>
      <c r="B91" s="156">
        <f>22216-8909</f>
        <v>13307</v>
      </c>
      <c r="C91" s="156">
        <f>89574-8908</f>
        <v>80666</v>
      </c>
      <c r="D91" s="156">
        <v>3495</v>
      </c>
      <c r="E91" s="156">
        <v>9376</v>
      </c>
      <c r="F91" s="156">
        <v>9896</v>
      </c>
      <c r="G91" s="156">
        <v>8908</v>
      </c>
      <c r="H91" s="156">
        <f t="shared" ref="H91:H98" si="16">I91-G91-F91-E91-D91-C91-B91</f>
        <v>72587</v>
      </c>
      <c r="I91" s="156">
        <v>198235</v>
      </c>
    </row>
    <row r="92" spans="1:9" ht="15" customHeight="1" x14ac:dyDescent="0.2">
      <c r="A92" s="11" t="s">
        <v>365</v>
      </c>
      <c r="B92" s="156">
        <f>56090-8536</f>
        <v>47554</v>
      </c>
      <c r="C92" s="156">
        <f>92699-10350</f>
        <v>82349</v>
      </c>
      <c r="D92" s="156">
        <v>2317</v>
      </c>
      <c r="E92" s="156">
        <v>6158</v>
      </c>
      <c r="F92" s="156">
        <v>8536</v>
      </c>
      <c r="G92" s="156">
        <v>10350</v>
      </c>
      <c r="H92" s="156">
        <f t="shared" si="16"/>
        <v>1707</v>
      </c>
      <c r="I92" s="156">
        <v>158971</v>
      </c>
    </row>
    <row r="93" spans="1:9" ht="15" customHeight="1" x14ac:dyDescent="0.2">
      <c r="A93" s="11" t="s">
        <v>366</v>
      </c>
      <c r="B93" s="156">
        <f>67121-18755</f>
        <v>48366</v>
      </c>
      <c r="C93" s="156">
        <f>87477-9023</f>
        <v>78454</v>
      </c>
      <c r="D93" s="156">
        <v>2345</v>
      </c>
      <c r="E93" s="156">
        <v>6529</v>
      </c>
      <c r="F93" s="156">
        <v>18755</v>
      </c>
      <c r="G93" s="156">
        <v>9023</v>
      </c>
      <c r="H93" s="156">
        <f t="shared" si="16"/>
        <v>1721</v>
      </c>
      <c r="I93" s="156">
        <v>165193</v>
      </c>
    </row>
    <row r="94" spans="1:9" ht="15" customHeight="1" x14ac:dyDescent="0.2">
      <c r="A94" s="11" t="s">
        <v>367</v>
      </c>
      <c r="B94" s="156">
        <f>108100-39850</f>
        <v>68250</v>
      </c>
      <c r="C94" s="156">
        <f>90931-10544</f>
        <v>80387</v>
      </c>
      <c r="D94" s="156">
        <v>3015</v>
      </c>
      <c r="E94" s="156">
        <v>8764</v>
      </c>
      <c r="F94" s="156">
        <v>39850</v>
      </c>
      <c r="G94" s="156">
        <v>10544</v>
      </c>
      <c r="H94" s="156">
        <f t="shared" si="16"/>
        <v>2096</v>
      </c>
      <c r="I94" s="156">
        <v>212906</v>
      </c>
    </row>
    <row r="95" spans="1:9" ht="15" customHeight="1" x14ac:dyDescent="0.2">
      <c r="A95" s="11" t="s">
        <v>368</v>
      </c>
      <c r="B95" s="156">
        <f>132864-48687</f>
        <v>84177</v>
      </c>
      <c r="C95" s="156">
        <f>107201-16724</f>
        <v>90477</v>
      </c>
      <c r="D95" s="156">
        <v>2708</v>
      </c>
      <c r="E95" s="156">
        <v>12614</v>
      </c>
      <c r="F95" s="156">
        <v>48687</v>
      </c>
      <c r="G95" s="156">
        <v>16724</v>
      </c>
      <c r="H95" s="156">
        <f t="shared" si="16"/>
        <v>3541</v>
      </c>
      <c r="I95" s="156">
        <v>258928</v>
      </c>
    </row>
    <row r="96" spans="1:9" ht="15" customHeight="1" x14ac:dyDescent="0.2">
      <c r="A96" s="10" t="s">
        <v>376</v>
      </c>
      <c r="B96" s="157">
        <f>159171-55091</f>
        <v>104080</v>
      </c>
      <c r="C96" s="157">
        <f>100944-12338</f>
        <v>88606</v>
      </c>
      <c r="D96" s="157">
        <v>2512</v>
      </c>
      <c r="E96" s="157">
        <v>12532</v>
      </c>
      <c r="F96" s="157">
        <v>55091</v>
      </c>
      <c r="G96" s="157">
        <v>12338</v>
      </c>
      <c r="H96" s="157">
        <f t="shared" si="16"/>
        <v>2168</v>
      </c>
      <c r="I96" s="157">
        <v>277327</v>
      </c>
    </row>
    <row r="97" spans="1:9" ht="15" customHeight="1" x14ac:dyDescent="0.2">
      <c r="A97" s="10" t="s">
        <v>378</v>
      </c>
      <c r="B97" s="157">
        <f>162473-50524</f>
        <v>111949</v>
      </c>
      <c r="C97" s="157">
        <f>100056-11019</f>
        <v>89037</v>
      </c>
      <c r="D97" s="157">
        <v>1186</v>
      </c>
      <c r="E97" s="157">
        <v>13366</v>
      </c>
      <c r="F97" s="157">
        <v>50524</v>
      </c>
      <c r="G97" s="157">
        <v>11019</v>
      </c>
      <c r="H97" s="157">
        <f t="shared" si="16"/>
        <v>2247</v>
      </c>
      <c r="I97" s="157">
        <v>279328</v>
      </c>
    </row>
    <row r="98" spans="1:9" ht="15" customHeight="1" x14ac:dyDescent="0.2">
      <c r="A98" s="10" t="s">
        <v>377</v>
      </c>
      <c r="B98" s="157">
        <f>78141-21868</f>
        <v>56273</v>
      </c>
      <c r="C98" s="157">
        <f>94811-12500</f>
        <v>82311</v>
      </c>
      <c r="D98" s="157">
        <v>655</v>
      </c>
      <c r="E98" s="157">
        <v>8951</v>
      </c>
      <c r="F98" s="157">
        <v>21868</v>
      </c>
      <c r="G98" s="157">
        <v>12500</v>
      </c>
      <c r="H98" s="157">
        <f t="shared" si="16"/>
        <v>1421</v>
      </c>
      <c r="I98" s="157">
        <v>183979</v>
      </c>
    </row>
    <row r="99" spans="1:9" ht="15" customHeight="1" x14ac:dyDescent="0.2">
      <c r="A99" s="166" t="s">
        <v>398</v>
      </c>
      <c r="B99" s="167">
        <f>45325-F99</f>
        <v>35207</v>
      </c>
      <c r="C99" s="167">
        <f>81200-G99</f>
        <v>69951</v>
      </c>
      <c r="D99" s="167">
        <v>729</v>
      </c>
      <c r="E99" s="167">
        <v>6713</v>
      </c>
      <c r="F99" s="167">
        <v>10118</v>
      </c>
      <c r="G99" s="167">
        <v>11249</v>
      </c>
      <c r="H99" s="167">
        <f>I99-G99-F99-E99-D99-C99-B99</f>
        <v>1676</v>
      </c>
      <c r="I99" s="167">
        <v>135643</v>
      </c>
    </row>
    <row r="100" spans="1:9" ht="15" customHeight="1" x14ac:dyDescent="0.2">
      <c r="A100" s="76" t="s">
        <v>111</v>
      </c>
      <c r="G100" s="19" t="s">
        <v>329</v>
      </c>
    </row>
    <row r="101" spans="1:9" ht="15" customHeight="1" x14ac:dyDescent="0.2"/>
    <row r="102" spans="1:9" ht="15" customHeight="1" x14ac:dyDescent="0.2"/>
    <row r="103" spans="1:9" ht="15" customHeight="1" x14ac:dyDescent="0.2"/>
    <row r="104" spans="1:9" ht="15" customHeight="1" x14ac:dyDescent="0.2"/>
    <row r="105" spans="1:9" ht="15" customHeight="1" x14ac:dyDescent="0.2"/>
    <row r="106" spans="1:9" ht="15" customHeight="1" x14ac:dyDescent="0.2"/>
    <row r="107" spans="1:9" ht="15" customHeight="1" x14ac:dyDescent="0.2"/>
    <row r="108" spans="1:9" ht="15" customHeight="1" x14ac:dyDescent="0.2"/>
  </sheetData>
  <mergeCells count="3">
    <mergeCell ref="A6:A7"/>
    <mergeCell ref="B6:I6"/>
    <mergeCell ref="A4:I4"/>
  </mergeCells>
  <phoneticPr fontId="19" type="noConversion"/>
  <hyperlinks>
    <hyperlink ref="I2" location="Contents!A1" display="Back to Contents" xr:uid="{495C3816-7A57-430D-8C98-63D72E6A44BA}"/>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E5FE6-08ED-476D-BC15-6DEBC8AD3B78}">
  <sheetPr>
    <pageSetUpPr fitToPage="1"/>
  </sheetPr>
  <dimension ref="A1:FU101"/>
  <sheetViews>
    <sheetView showGridLines="0" topLeftCell="B1" zoomScaleNormal="100" workbookViewId="0">
      <pane xSplit="8" ySplit="6" topLeftCell="FE7" activePane="bottomRight" state="frozen"/>
      <selection activeCell="AA321" sqref="AA321"/>
      <selection pane="topRight" activeCell="AA321" sqref="AA321"/>
      <selection pane="bottomLeft" activeCell="AA321" sqref="AA321"/>
      <selection pane="bottomRight" activeCell="FU2" sqref="FU2"/>
    </sheetView>
  </sheetViews>
  <sheetFormatPr defaultRowHeight="12.75" x14ac:dyDescent="0.2"/>
  <cols>
    <col min="1" max="1" width="8" style="272" customWidth="1"/>
    <col min="2" max="2" width="2.85546875" style="272" customWidth="1"/>
    <col min="3" max="3" width="1.5703125" style="272" customWidth="1"/>
    <col min="4" max="4" width="2.140625" style="272" customWidth="1"/>
    <col min="5" max="5" width="1.7109375" style="272" customWidth="1"/>
    <col min="6" max="6" width="2.7109375" style="272" customWidth="1"/>
    <col min="7" max="7" width="1.42578125" style="272" customWidth="1"/>
    <col min="8" max="8" width="29" style="277" customWidth="1"/>
    <col min="9" max="9" width="13.42578125" style="277" customWidth="1"/>
    <col min="10" max="15" width="12" style="277" customWidth="1"/>
    <col min="16" max="16" width="12" style="278" customWidth="1"/>
    <col min="17" max="21" width="12" style="277" customWidth="1"/>
    <col min="22" max="69" width="12" style="272" customWidth="1"/>
    <col min="70" max="72" width="12" style="329" customWidth="1"/>
    <col min="73" max="177" width="12" style="272" customWidth="1"/>
    <col min="178" max="311" width="9.140625" style="272"/>
    <col min="312" max="312" width="10.42578125" style="272" customWidth="1"/>
    <col min="313" max="313" width="11.42578125" style="272" customWidth="1"/>
    <col min="314" max="314" width="12.140625" style="272" customWidth="1"/>
    <col min="315" max="315" width="42.28515625" style="272" customWidth="1"/>
    <col min="316" max="567" width="9.140625" style="272"/>
    <col min="568" max="568" width="10.42578125" style="272" customWidth="1"/>
    <col min="569" max="569" width="11.42578125" style="272" customWidth="1"/>
    <col min="570" max="570" width="12.140625" style="272" customWidth="1"/>
    <col min="571" max="571" width="42.28515625" style="272" customWidth="1"/>
    <col min="572" max="823" width="9.140625" style="272"/>
    <col min="824" max="824" width="10.42578125" style="272" customWidth="1"/>
    <col min="825" max="825" width="11.42578125" style="272" customWidth="1"/>
    <col min="826" max="826" width="12.140625" style="272" customWidth="1"/>
    <col min="827" max="827" width="42.28515625" style="272" customWidth="1"/>
    <col min="828" max="1079" width="9.140625" style="272"/>
    <col min="1080" max="1080" width="10.42578125" style="272" customWidth="1"/>
    <col min="1081" max="1081" width="11.42578125" style="272" customWidth="1"/>
    <col min="1082" max="1082" width="12.140625" style="272" customWidth="1"/>
    <col min="1083" max="1083" width="42.28515625" style="272" customWidth="1"/>
    <col min="1084" max="1335" width="9.140625" style="272"/>
    <col min="1336" max="1336" width="10.42578125" style="272" customWidth="1"/>
    <col min="1337" max="1337" width="11.42578125" style="272" customWidth="1"/>
    <col min="1338" max="1338" width="12.140625" style="272" customWidth="1"/>
    <col min="1339" max="1339" width="42.28515625" style="272" customWidth="1"/>
    <col min="1340" max="1591" width="9.140625" style="272"/>
    <col min="1592" max="1592" width="10.42578125" style="272" customWidth="1"/>
    <col min="1593" max="1593" width="11.42578125" style="272" customWidth="1"/>
    <col min="1594" max="1594" width="12.140625" style="272" customWidth="1"/>
    <col min="1595" max="1595" width="42.28515625" style="272" customWidth="1"/>
    <col min="1596" max="1847" width="9.140625" style="272"/>
    <col min="1848" max="1848" width="10.42578125" style="272" customWidth="1"/>
    <col min="1849" max="1849" width="11.42578125" style="272" customWidth="1"/>
    <col min="1850" max="1850" width="12.140625" style="272" customWidth="1"/>
    <col min="1851" max="1851" width="42.28515625" style="272" customWidth="1"/>
    <col min="1852" max="2103" width="9.140625" style="272"/>
    <col min="2104" max="2104" width="10.42578125" style="272" customWidth="1"/>
    <col min="2105" max="2105" width="11.42578125" style="272" customWidth="1"/>
    <col min="2106" max="2106" width="12.140625" style="272" customWidth="1"/>
    <col min="2107" max="2107" width="42.28515625" style="272" customWidth="1"/>
    <col min="2108" max="2359" width="9.140625" style="272"/>
    <col min="2360" max="2360" width="10.42578125" style="272" customWidth="1"/>
    <col min="2361" max="2361" width="11.42578125" style="272" customWidth="1"/>
    <col min="2362" max="2362" width="12.140625" style="272" customWidth="1"/>
    <col min="2363" max="2363" width="42.28515625" style="272" customWidth="1"/>
    <col min="2364" max="2615" width="9.140625" style="272"/>
    <col min="2616" max="2616" width="10.42578125" style="272" customWidth="1"/>
    <col min="2617" max="2617" width="11.42578125" style="272" customWidth="1"/>
    <col min="2618" max="2618" width="12.140625" style="272" customWidth="1"/>
    <col min="2619" max="2619" width="42.28515625" style="272" customWidth="1"/>
    <col min="2620" max="2871" width="9.140625" style="272"/>
    <col min="2872" max="2872" width="10.42578125" style="272" customWidth="1"/>
    <col min="2873" max="2873" width="11.42578125" style="272" customWidth="1"/>
    <col min="2874" max="2874" width="12.140625" style="272" customWidth="1"/>
    <col min="2875" max="2875" width="42.28515625" style="272" customWidth="1"/>
    <col min="2876" max="3127" width="9.140625" style="272"/>
    <col min="3128" max="3128" width="10.42578125" style="272" customWidth="1"/>
    <col min="3129" max="3129" width="11.42578125" style="272" customWidth="1"/>
    <col min="3130" max="3130" width="12.140625" style="272" customWidth="1"/>
    <col min="3131" max="3131" width="42.28515625" style="272" customWidth="1"/>
    <col min="3132" max="3383" width="9.140625" style="272"/>
    <col min="3384" max="3384" width="10.42578125" style="272" customWidth="1"/>
    <col min="3385" max="3385" width="11.42578125" style="272" customWidth="1"/>
    <col min="3386" max="3386" width="12.140625" style="272" customWidth="1"/>
    <col min="3387" max="3387" width="42.28515625" style="272" customWidth="1"/>
    <col min="3388" max="3639" width="9.140625" style="272"/>
    <col min="3640" max="3640" width="10.42578125" style="272" customWidth="1"/>
    <col min="3641" max="3641" width="11.42578125" style="272" customWidth="1"/>
    <col min="3642" max="3642" width="12.140625" style="272" customWidth="1"/>
    <col min="3643" max="3643" width="42.28515625" style="272" customWidth="1"/>
    <col min="3644" max="3895" width="9.140625" style="272"/>
    <col min="3896" max="3896" width="10.42578125" style="272" customWidth="1"/>
    <col min="3897" max="3897" width="11.42578125" style="272" customWidth="1"/>
    <col min="3898" max="3898" width="12.140625" style="272" customWidth="1"/>
    <col min="3899" max="3899" width="42.28515625" style="272" customWidth="1"/>
    <col min="3900" max="4151" width="9.140625" style="272"/>
    <col min="4152" max="4152" width="10.42578125" style="272" customWidth="1"/>
    <col min="4153" max="4153" width="11.42578125" style="272" customWidth="1"/>
    <col min="4154" max="4154" width="12.140625" style="272" customWidth="1"/>
    <col min="4155" max="4155" width="42.28515625" style="272" customWidth="1"/>
    <col min="4156" max="4407" width="9.140625" style="272"/>
    <col min="4408" max="4408" width="10.42578125" style="272" customWidth="1"/>
    <col min="4409" max="4409" width="11.42578125" style="272" customWidth="1"/>
    <col min="4410" max="4410" width="12.140625" style="272" customWidth="1"/>
    <col min="4411" max="4411" width="42.28515625" style="272" customWidth="1"/>
    <col min="4412" max="4663" width="9.140625" style="272"/>
    <col min="4664" max="4664" width="10.42578125" style="272" customWidth="1"/>
    <col min="4665" max="4665" width="11.42578125" style="272" customWidth="1"/>
    <col min="4666" max="4666" width="12.140625" style="272" customWidth="1"/>
    <col min="4667" max="4667" width="42.28515625" style="272" customWidth="1"/>
    <col min="4668" max="4919" width="9.140625" style="272"/>
    <col min="4920" max="4920" width="10.42578125" style="272" customWidth="1"/>
    <col min="4921" max="4921" width="11.42578125" style="272" customWidth="1"/>
    <col min="4922" max="4922" width="12.140625" style="272" customWidth="1"/>
    <col min="4923" max="4923" width="42.28515625" style="272" customWidth="1"/>
    <col min="4924" max="5175" width="9.140625" style="272"/>
    <col min="5176" max="5176" width="10.42578125" style="272" customWidth="1"/>
    <col min="5177" max="5177" width="11.42578125" style="272" customWidth="1"/>
    <col min="5178" max="5178" width="12.140625" style="272" customWidth="1"/>
    <col min="5179" max="5179" width="42.28515625" style="272" customWidth="1"/>
    <col min="5180" max="5431" width="9.140625" style="272"/>
    <col min="5432" max="5432" width="10.42578125" style="272" customWidth="1"/>
    <col min="5433" max="5433" width="11.42578125" style="272" customWidth="1"/>
    <col min="5434" max="5434" width="12.140625" style="272" customWidth="1"/>
    <col min="5435" max="5435" width="42.28515625" style="272" customWidth="1"/>
    <col min="5436" max="5687" width="9.140625" style="272"/>
    <col min="5688" max="5688" width="10.42578125" style="272" customWidth="1"/>
    <col min="5689" max="5689" width="11.42578125" style="272" customWidth="1"/>
    <col min="5690" max="5690" width="12.140625" style="272" customWidth="1"/>
    <col min="5691" max="5691" width="42.28515625" style="272" customWidth="1"/>
    <col min="5692" max="5943" width="9.140625" style="272"/>
    <col min="5944" max="5944" width="10.42578125" style="272" customWidth="1"/>
    <col min="5945" max="5945" width="11.42578125" style="272" customWidth="1"/>
    <col min="5946" max="5946" width="12.140625" style="272" customWidth="1"/>
    <col min="5947" max="5947" width="42.28515625" style="272" customWidth="1"/>
    <col min="5948" max="6199" width="9.140625" style="272"/>
    <col min="6200" max="6200" width="10.42578125" style="272" customWidth="1"/>
    <col min="6201" max="6201" width="11.42578125" style="272" customWidth="1"/>
    <col min="6202" max="6202" width="12.140625" style="272" customWidth="1"/>
    <col min="6203" max="6203" width="42.28515625" style="272" customWidth="1"/>
    <col min="6204" max="6455" width="9.140625" style="272"/>
    <col min="6456" max="6456" width="10.42578125" style="272" customWidth="1"/>
    <col min="6457" max="6457" width="11.42578125" style="272" customWidth="1"/>
    <col min="6458" max="6458" width="12.140625" style="272" customWidth="1"/>
    <col min="6459" max="6459" width="42.28515625" style="272" customWidth="1"/>
    <col min="6460" max="6711" width="9.140625" style="272"/>
    <col min="6712" max="6712" width="10.42578125" style="272" customWidth="1"/>
    <col min="6713" max="6713" width="11.42578125" style="272" customWidth="1"/>
    <col min="6714" max="6714" width="12.140625" style="272" customWidth="1"/>
    <col min="6715" max="6715" width="42.28515625" style="272" customWidth="1"/>
    <col min="6716" max="6967" width="9.140625" style="272"/>
    <col min="6968" max="6968" width="10.42578125" style="272" customWidth="1"/>
    <col min="6969" max="6969" width="11.42578125" style="272" customWidth="1"/>
    <col min="6970" max="6970" width="12.140625" style="272" customWidth="1"/>
    <col min="6971" max="6971" width="42.28515625" style="272" customWidth="1"/>
    <col min="6972" max="7223" width="9.140625" style="272"/>
    <col min="7224" max="7224" width="10.42578125" style="272" customWidth="1"/>
    <col min="7225" max="7225" width="11.42578125" style="272" customWidth="1"/>
    <col min="7226" max="7226" width="12.140625" style="272" customWidth="1"/>
    <col min="7227" max="7227" width="42.28515625" style="272" customWidth="1"/>
    <col min="7228" max="7479" width="9.140625" style="272"/>
    <col min="7480" max="7480" width="10.42578125" style="272" customWidth="1"/>
    <col min="7481" max="7481" width="11.42578125" style="272" customWidth="1"/>
    <col min="7482" max="7482" width="12.140625" style="272" customWidth="1"/>
    <col min="7483" max="7483" width="42.28515625" style="272" customWidth="1"/>
    <col min="7484" max="7735" width="9.140625" style="272"/>
    <col min="7736" max="7736" width="10.42578125" style="272" customWidth="1"/>
    <col min="7737" max="7737" width="11.42578125" style="272" customWidth="1"/>
    <col min="7738" max="7738" width="12.140625" style="272" customWidth="1"/>
    <col min="7739" max="7739" width="42.28515625" style="272" customWidth="1"/>
    <col min="7740" max="7991" width="9.140625" style="272"/>
    <col min="7992" max="7992" width="10.42578125" style="272" customWidth="1"/>
    <col min="7993" max="7993" width="11.42578125" style="272" customWidth="1"/>
    <col min="7994" max="7994" width="12.140625" style="272" customWidth="1"/>
    <col min="7995" max="7995" width="42.28515625" style="272" customWidth="1"/>
    <col min="7996" max="8247" width="9.140625" style="272"/>
    <col min="8248" max="8248" width="10.42578125" style="272" customWidth="1"/>
    <col min="8249" max="8249" width="11.42578125" style="272" customWidth="1"/>
    <col min="8250" max="8250" width="12.140625" style="272" customWidth="1"/>
    <col min="8251" max="8251" width="42.28515625" style="272" customWidth="1"/>
    <col min="8252" max="8503" width="9.140625" style="272"/>
    <col min="8504" max="8504" width="10.42578125" style="272" customWidth="1"/>
    <col min="8505" max="8505" width="11.42578125" style="272" customWidth="1"/>
    <col min="8506" max="8506" width="12.140625" style="272" customWidth="1"/>
    <col min="8507" max="8507" width="42.28515625" style="272" customWidth="1"/>
    <col min="8508" max="8759" width="9.140625" style="272"/>
    <col min="8760" max="8760" width="10.42578125" style="272" customWidth="1"/>
    <col min="8761" max="8761" width="11.42578125" style="272" customWidth="1"/>
    <col min="8762" max="8762" width="12.140625" style="272" customWidth="1"/>
    <col min="8763" max="8763" width="42.28515625" style="272" customWidth="1"/>
    <col min="8764" max="9015" width="9.140625" style="272"/>
    <col min="9016" max="9016" width="10.42578125" style="272" customWidth="1"/>
    <col min="9017" max="9017" width="11.42578125" style="272" customWidth="1"/>
    <col min="9018" max="9018" width="12.140625" style="272" customWidth="1"/>
    <col min="9019" max="9019" width="42.28515625" style="272" customWidth="1"/>
    <col min="9020" max="9271" width="9.140625" style="272"/>
    <col min="9272" max="9272" width="10.42578125" style="272" customWidth="1"/>
    <col min="9273" max="9273" width="11.42578125" style="272" customWidth="1"/>
    <col min="9274" max="9274" width="12.140625" style="272" customWidth="1"/>
    <col min="9275" max="9275" width="42.28515625" style="272" customWidth="1"/>
    <col min="9276" max="9527" width="9.140625" style="272"/>
    <col min="9528" max="9528" width="10.42578125" style="272" customWidth="1"/>
    <col min="9529" max="9529" width="11.42578125" style="272" customWidth="1"/>
    <col min="9530" max="9530" width="12.140625" style="272" customWidth="1"/>
    <col min="9531" max="9531" width="42.28515625" style="272" customWidth="1"/>
    <col min="9532" max="9783" width="9.140625" style="272"/>
    <col min="9784" max="9784" width="10.42578125" style="272" customWidth="1"/>
    <col min="9785" max="9785" width="11.42578125" style="272" customWidth="1"/>
    <col min="9786" max="9786" width="12.140625" style="272" customWidth="1"/>
    <col min="9787" max="9787" width="42.28515625" style="272" customWidth="1"/>
    <col min="9788" max="10039" width="9.140625" style="272"/>
    <col min="10040" max="10040" width="10.42578125" style="272" customWidth="1"/>
    <col min="10041" max="10041" width="11.42578125" style="272" customWidth="1"/>
    <col min="10042" max="10042" width="12.140625" style="272" customWidth="1"/>
    <col min="10043" max="10043" width="42.28515625" style="272" customWidth="1"/>
    <col min="10044" max="10295" width="9.140625" style="272"/>
    <col min="10296" max="10296" width="10.42578125" style="272" customWidth="1"/>
    <col min="10297" max="10297" width="11.42578125" style="272" customWidth="1"/>
    <col min="10298" max="10298" width="12.140625" style="272" customWidth="1"/>
    <col min="10299" max="10299" width="42.28515625" style="272" customWidth="1"/>
    <col min="10300" max="10551" width="9.140625" style="272"/>
    <col min="10552" max="10552" width="10.42578125" style="272" customWidth="1"/>
    <col min="10553" max="10553" width="11.42578125" style="272" customWidth="1"/>
    <col min="10554" max="10554" width="12.140625" style="272" customWidth="1"/>
    <col min="10555" max="10555" width="42.28515625" style="272" customWidth="1"/>
    <col min="10556" max="10807" width="9.140625" style="272"/>
    <col min="10808" max="10808" width="10.42578125" style="272" customWidth="1"/>
    <col min="10809" max="10809" width="11.42578125" style="272" customWidth="1"/>
    <col min="10810" max="10810" width="12.140625" style="272" customWidth="1"/>
    <col min="10811" max="10811" width="42.28515625" style="272" customWidth="1"/>
    <col min="10812" max="11063" width="9.140625" style="272"/>
    <col min="11064" max="11064" width="10.42578125" style="272" customWidth="1"/>
    <col min="11065" max="11065" width="11.42578125" style="272" customWidth="1"/>
    <col min="11066" max="11066" width="12.140625" style="272" customWidth="1"/>
    <col min="11067" max="11067" width="42.28515625" style="272" customWidth="1"/>
    <col min="11068" max="11319" width="9.140625" style="272"/>
    <col min="11320" max="11320" width="10.42578125" style="272" customWidth="1"/>
    <col min="11321" max="11321" width="11.42578125" style="272" customWidth="1"/>
    <col min="11322" max="11322" width="12.140625" style="272" customWidth="1"/>
    <col min="11323" max="11323" width="42.28515625" style="272" customWidth="1"/>
    <col min="11324" max="11575" width="9.140625" style="272"/>
    <col min="11576" max="11576" width="10.42578125" style="272" customWidth="1"/>
    <col min="11577" max="11577" width="11.42578125" style="272" customWidth="1"/>
    <col min="11578" max="11578" width="12.140625" style="272" customWidth="1"/>
    <col min="11579" max="11579" width="42.28515625" style="272" customWidth="1"/>
    <col min="11580" max="11831" width="9.140625" style="272"/>
    <col min="11832" max="11832" width="10.42578125" style="272" customWidth="1"/>
    <col min="11833" max="11833" width="11.42578125" style="272" customWidth="1"/>
    <col min="11834" max="11834" width="12.140625" style="272" customWidth="1"/>
    <col min="11835" max="11835" width="42.28515625" style="272" customWidth="1"/>
    <col min="11836" max="12087" width="9.140625" style="272"/>
    <col min="12088" max="12088" width="10.42578125" style="272" customWidth="1"/>
    <col min="12089" max="12089" width="11.42578125" style="272" customWidth="1"/>
    <col min="12090" max="12090" width="12.140625" style="272" customWidth="1"/>
    <col min="12091" max="12091" width="42.28515625" style="272" customWidth="1"/>
    <col min="12092" max="12343" width="9.140625" style="272"/>
    <col min="12344" max="12344" width="10.42578125" style="272" customWidth="1"/>
    <col min="12345" max="12345" width="11.42578125" style="272" customWidth="1"/>
    <col min="12346" max="12346" width="12.140625" style="272" customWidth="1"/>
    <col min="12347" max="12347" width="42.28515625" style="272" customWidth="1"/>
    <col min="12348" max="12599" width="9.140625" style="272"/>
    <col min="12600" max="12600" width="10.42578125" style="272" customWidth="1"/>
    <col min="12601" max="12601" width="11.42578125" style="272" customWidth="1"/>
    <col min="12602" max="12602" width="12.140625" style="272" customWidth="1"/>
    <col min="12603" max="12603" width="42.28515625" style="272" customWidth="1"/>
    <col min="12604" max="12855" width="9.140625" style="272"/>
    <col min="12856" max="12856" width="10.42578125" style="272" customWidth="1"/>
    <col min="12857" max="12857" width="11.42578125" style="272" customWidth="1"/>
    <col min="12858" max="12858" width="12.140625" style="272" customWidth="1"/>
    <col min="12859" max="12859" width="42.28515625" style="272" customWidth="1"/>
    <col min="12860" max="13111" width="9.140625" style="272"/>
    <col min="13112" max="13112" width="10.42578125" style="272" customWidth="1"/>
    <col min="13113" max="13113" width="11.42578125" style="272" customWidth="1"/>
    <col min="13114" max="13114" width="12.140625" style="272" customWidth="1"/>
    <col min="13115" max="13115" width="42.28515625" style="272" customWidth="1"/>
    <col min="13116" max="13367" width="9.140625" style="272"/>
    <col min="13368" max="13368" width="10.42578125" style="272" customWidth="1"/>
    <col min="13369" max="13369" width="11.42578125" style="272" customWidth="1"/>
    <col min="13370" max="13370" width="12.140625" style="272" customWidth="1"/>
    <col min="13371" max="13371" width="42.28515625" style="272" customWidth="1"/>
    <col min="13372" max="13623" width="9.140625" style="272"/>
    <col min="13624" max="13624" width="10.42578125" style="272" customWidth="1"/>
    <col min="13625" max="13625" width="11.42578125" style="272" customWidth="1"/>
    <col min="13626" max="13626" width="12.140625" style="272" customWidth="1"/>
    <col min="13627" max="13627" width="42.28515625" style="272" customWidth="1"/>
    <col min="13628" max="13879" width="9.140625" style="272"/>
    <col min="13880" max="13880" width="10.42578125" style="272" customWidth="1"/>
    <col min="13881" max="13881" width="11.42578125" style="272" customWidth="1"/>
    <col min="13882" max="13882" width="12.140625" style="272" customWidth="1"/>
    <col min="13883" max="13883" width="42.28515625" style="272" customWidth="1"/>
    <col min="13884" max="14135" width="9.140625" style="272"/>
    <col min="14136" max="14136" width="10.42578125" style="272" customWidth="1"/>
    <col min="14137" max="14137" width="11.42578125" style="272" customWidth="1"/>
    <col min="14138" max="14138" width="12.140625" style="272" customWidth="1"/>
    <col min="14139" max="14139" width="42.28515625" style="272" customWidth="1"/>
    <col min="14140" max="14391" width="9.140625" style="272"/>
    <col min="14392" max="14392" width="10.42578125" style="272" customWidth="1"/>
    <col min="14393" max="14393" width="11.42578125" style="272" customWidth="1"/>
    <col min="14394" max="14394" width="12.140625" style="272" customWidth="1"/>
    <col min="14395" max="14395" width="42.28515625" style="272" customWidth="1"/>
    <col min="14396" max="14647" width="9.140625" style="272"/>
    <col min="14648" max="14648" width="10.42578125" style="272" customWidth="1"/>
    <col min="14649" max="14649" width="11.42578125" style="272" customWidth="1"/>
    <col min="14650" max="14650" width="12.140625" style="272" customWidth="1"/>
    <col min="14651" max="14651" width="42.28515625" style="272" customWidth="1"/>
    <col min="14652" max="14903" width="9.140625" style="272"/>
    <col min="14904" max="14904" width="10.42578125" style="272" customWidth="1"/>
    <col min="14905" max="14905" width="11.42578125" style="272" customWidth="1"/>
    <col min="14906" max="14906" width="12.140625" style="272" customWidth="1"/>
    <col min="14907" max="14907" width="42.28515625" style="272" customWidth="1"/>
    <col min="14908" max="15159" width="9.140625" style="272"/>
    <col min="15160" max="15160" width="10.42578125" style="272" customWidth="1"/>
    <col min="15161" max="15161" width="11.42578125" style="272" customWidth="1"/>
    <col min="15162" max="15162" width="12.140625" style="272" customWidth="1"/>
    <col min="15163" max="15163" width="42.28515625" style="272" customWidth="1"/>
    <col min="15164" max="15415" width="9.140625" style="272"/>
    <col min="15416" max="15416" width="10.42578125" style="272" customWidth="1"/>
    <col min="15417" max="15417" width="11.42578125" style="272" customWidth="1"/>
    <col min="15418" max="15418" width="12.140625" style="272" customWidth="1"/>
    <col min="15419" max="15419" width="42.28515625" style="272" customWidth="1"/>
    <col min="15420" max="15671" width="9.140625" style="272"/>
    <col min="15672" max="15672" width="10.42578125" style="272" customWidth="1"/>
    <col min="15673" max="15673" width="11.42578125" style="272" customWidth="1"/>
    <col min="15674" max="15674" width="12.140625" style="272" customWidth="1"/>
    <col min="15675" max="15675" width="42.28515625" style="272" customWidth="1"/>
    <col min="15676" max="15927" width="9.140625" style="272"/>
    <col min="15928" max="15928" width="10.42578125" style="272" customWidth="1"/>
    <col min="15929" max="15929" width="11.42578125" style="272" customWidth="1"/>
    <col min="15930" max="15930" width="12.140625" style="272" customWidth="1"/>
    <col min="15931" max="15931" width="42.28515625" style="272" customWidth="1"/>
    <col min="15932" max="16289" width="9.140625" style="272"/>
    <col min="16290" max="16377" width="11.42578125" style="272" customWidth="1"/>
    <col min="16378" max="16384" width="9.140625" style="272"/>
  </cols>
  <sheetData>
    <row r="1" spans="1:177" ht="25.5" customHeight="1" x14ac:dyDescent="0.25">
      <c r="B1" s="273" t="s">
        <v>29</v>
      </c>
      <c r="D1" s="274"/>
      <c r="E1" s="275"/>
      <c r="G1" s="275"/>
      <c r="H1" s="276"/>
      <c r="V1" s="279"/>
      <c r="W1" s="279"/>
      <c r="X1" s="279"/>
      <c r="Y1" s="279"/>
      <c r="Z1" s="279"/>
      <c r="AA1" s="279"/>
      <c r="AB1" s="279"/>
      <c r="AC1" s="279"/>
      <c r="AD1" s="279"/>
      <c r="AE1" s="279"/>
      <c r="AF1" s="279"/>
      <c r="AG1" s="279"/>
      <c r="AH1" s="279"/>
      <c r="AI1" s="279"/>
      <c r="AJ1" s="280"/>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81"/>
      <c r="BS1" s="281"/>
      <c r="BT1" s="281"/>
      <c r="BU1" s="279"/>
      <c r="BV1" s="279"/>
      <c r="BW1" s="279"/>
      <c r="BX1" s="279"/>
      <c r="BY1" s="279"/>
      <c r="BZ1" s="279"/>
      <c r="CA1" s="279"/>
      <c r="CB1" s="279"/>
      <c r="CC1" s="279"/>
      <c r="CD1" s="279"/>
      <c r="CE1" s="279"/>
      <c r="CF1" s="279"/>
      <c r="CG1" s="279"/>
      <c r="CH1" s="279"/>
      <c r="CI1" s="279"/>
      <c r="CJ1" s="279"/>
      <c r="CK1" s="279"/>
      <c r="CL1" s="279"/>
      <c r="CM1" s="279"/>
      <c r="CN1" s="279"/>
      <c r="CO1" s="279"/>
      <c r="CS1" s="279"/>
      <c r="CT1" s="279"/>
      <c r="CU1" s="279"/>
      <c r="FU1" s="282" t="s">
        <v>422</v>
      </c>
    </row>
    <row r="2" spans="1:177" ht="25.5" customHeight="1" x14ac:dyDescent="0.25">
      <c r="B2" s="273" t="s">
        <v>286</v>
      </c>
      <c r="D2" s="274"/>
      <c r="E2" s="275"/>
      <c r="G2" s="275"/>
      <c r="H2" s="276"/>
      <c r="V2" s="279"/>
      <c r="W2" s="279"/>
      <c r="X2" s="279"/>
      <c r="Y2" s="279"/>
      <c r="Z2" s="279"/>
      <c r="AA2" s="279"/>
      <c r="AB2" s="279"/>
      <c r="AC2" s="279"/>
      <c r="AD2" s="279"/>
      <c r="AE2" s="279"/>
      <c r="AF2" s="279"/>
      <c r="AG2" s="279"/>
      <c r="AH2" s="279"/>
      <c r="AI2" s="279"/>
      <c r="AJ2" s="280"/>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279"/>
      <c r="BJ2" s="279"/>
      <c r="BK2" s="279"/>
      <c r="BL2" s="279"/>
      <c r="BM2" s="279"/>
      <c r="BN2" s="279"/>
      <c r="BO2" s="279"/>
      <c r="BP2" s="279"/>
      <c r="BQ2" s="279"/>
      <c r="BR2" s="281"/>
      <c r="BS2" s="281"/>
      <c r="BT2" s="281"/>
      <c r="BU2" s="279"/>
      <c r="BV2" s="279"/>
      <c r="BW2" s="279"/>
      <c r="BX2" s="279"/>
      <c r="BY2" s="279"/>
      <c r="BZ2" s="279"/>
      <c r="CA2" s="279"/>
      <c r="CB2" s="279"/>
      <c r="CC2" s="279"/>
      <c r="CD2" s="279"/>
      <c r="CE2" s="279"/>
      <c r="CF2" s="279"/>
      <c r="CG2" s="279"/>
      <c r="CH2" s="279"/>
      <c r="CI2" s="279"/>
      <c r="CJ2" s="279"/>
      <c r="CK2" s="279"/>
      <c r="CL2" s="279"/>
      <c r="CM2" s="279"/>
      <c r="CN2" s="279"/>
      <c r="CO2" s="279"/>
      <c r="CS2" s="279"/>
      <c r="CT2" s="279"/>
      <c r="CU2" s="279"/>
      <c r="FU2" s="17" t="s">
        <v>10</v>
      </c>
    </row>
    <row r="3" spans="1:177" ht="25.5" customHeight="1" x14ac:dyDescent="0.3">
      <c r="B3" s="283" t="s">
        <v>423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3"/>
      <c r="AX3" s="283"/>
      <c r="AY3" s="283"/>
      <c r="AZ3" s="283"/>
      <c r="BA3" s="283"/>
      <c r="BB3" s="283"/>
      <c r="BC3" s="283"/>
      <c r="BD3" s="283"/>
      <c r="BE3" s="283"/>
      <c r="BF3" s="283"/>
      <c r="BG3" s="283"/>
      <c r="BH3" s="283"/>
      <c r="BI3" s="283"/>
      <c r="BJ3" s="283"/>
      <c r="BK3" s="283"/>
      <c r="BL3" s="283"/>
      <c r="BM3" s="283"/>
      <c r="BN3" s="283"/>
      <c r="BO3" s="283"/>
      <c r="BP3" s="283"/>
      <c r="BQ3" s="283"/>
      <c r="BR3" s="283"/>
      <c r="BS3" s="283"/>
      <c r="BT3" s="283"/>
      <c r="BU3" s="283"/>
      <c r="BV3" s="283"/>
      <c r="BW3" s="283"/>
      <c r="BX3" s="283"/>
      <c r="BY3" s="283"/>
      <c r="BZ3" s="283"/>
      <c r="CA3" s="283"/>
      <c r="CB3" s="283"/>
      <c r="CC3" s="283"/>
      <c r="CD3" s="283"/>
      <c r="CE3" s="283"/>
      <c r="CF3" s="283"/>
      <c r="CG3" s="283"/>
      <c r="CH3" s="283"/>
      <c r="CI3" s="283"/>
      <c r="CJ3" s="283"/>
      <c r="CK3" s="283"/>
      <c r="CL3" s="283"/>
      <c r="CM3" s="283"/>
      <c r="CN3" s="283"/>
      <c r="CO3" s="283"/>
      <c r="CP3" s="283"/>
      <c r="CQ3" s="283"/>
      <c r="CR3" s="283"/>
      <c r="CS3" s="283"/>
      <c r="CT3" s="283"/>
      <c r="CU3" s="283"/>
      <c r="CV3" s="283"/>
      <c r="CW3" s="283"/>
      <c r="CX3" s="283"/>
      <c r="CY3" s="283"/>
      <c r="CZ3" s="283"/>
      <c r="DA3" s="283"/>
      <c r="DB3" s="283"/>
      <c r="DC3" s="283"/>
      <c r="DD3" s="283"/>
      <c r="DE3" s="283"/>
      <c r="DF3" s="283"/>
      <c r="DG3" s="283"/>
      <c r="DH3" s="283"/>
      <c r="DI3" s="283"/>
      <c r="DJ3" s="283"/>
      <c r="DK3" s="283"/>
      <c r="DL3" s="283"/>
      <c r="DM3" s="283"/>
      <c r="DN3" s="283"/>
      <c r="DO3" s="283"/>
      <c r="DP3" s="283"/>
      <c r="DQ3" s="283"/>
      <c r="DR3" s="283"/>
      <c r="DS3" s="283"/>
      <c r="DT3" s="283"/>
      <c r="DU3" s="283"/>
      <c r="DV3" s="283"/>
      <c r="DW3" s="283"/>
      <c r="DX3" s="283"/>
      <c r="DY3" s="283"/>
      <c r="DZ3" s="283"/>
      <c r="EA3" s="283"/>
      <c r="EB3" s="283"/>
      <c r="EC3" s="283"/>
      <c r="ED3" s="283"/>
      <c r="EE3" s="283"/>
      <c r="EF3" s="283"/>
      <c r="EG3" s="283"/>
      <c r="EH3" s="283"/>
      <c r="EI3" s="283"/>
      <c r="EJ3" s="283"/>
      <c r="EK3" s="283"/>
      <c r="EL3" s="283"/>
      <c r="EM3" s="283"/>
      <c r="EN3" s="283"/>
      <c r="EO3" s="283"/>
      <c r="EP3" s="283"/>
      <c r="EQ3" s="283"/>
      <c r="ER3" s="283"/>
      <c r="ES3" s="283"/>
      <c r="ET3" s="283"/>
      <c r="EU3" s="283"/>
      <c r="EV3" s="283"/>
      <c r="EW3" s="283"/>
      <c r="EX3" s="283"/>
      <c r="EY3" s="283"/>
      <c r="EZ3" s="283"/>
      <c r="FA3" s="283"/>
      <c r="FB3" s="283"/>
      <c r="FC3" s="283"/>
      <c r="FD3" s="283"/>
      <c r="FE3" s="283"/>
      <c r="FF3" s="283"/>
      <c r="FG3" s="283"/>
      <c r="FH3" s="283"/>
      <c r="FI3" s="283"/>
      <c r="FJ3" s="283"/>
      <c r="FK3" s="283"/>
      <c r="FL3" s="283"/>
      <c r="FM3" s="283"/>
      <c r="FN3" s="283"/>
      <c r="FO3" s="283"/>
      <c r="FP3" s="283"/>
      <c r="FQ3" s="283"/>
      <c r="FR3" s="283"/>
      <c r="FS3" s="283"/>
      <c r="FT3" s="283"/>
      <c r="FU3" s="283"/>
    </row>
    <row r="4" spans="1:177" ht="25.5" customHeight="1" x14ac:dyDescent="0.25">
      <c r="B4" s="284"/>
      <c r="D4" s="274"/>
      <c r="E4" s="275"/>
      <c r="G4" s="275"/>
      <c r="H4" s="276"/>
      <c r="V4" s="279"/>
      <c r="W4" s="279"/>
      <c r="X4" s="279"/>
      <c r="Y4" s="279"/>
      <c r="Z4" s="279"/>
      <c r="AA4" s="279"/>
      <c r="AB4" s="279"/>
      <c r="AC4" s="279"/>
      <c r="AD4" s="285"/>
      <c r="AE4" s="285"/>
      <c r="AF4" s="279"/>
      <c r="AG4" s="279"/>
      <c r="AH4" s="279"/>
      <c r="AI4" s="279"/>
      <c r="AJ4" s="280"/>
      <c r="AK4" s="279"/>
      <c r="AL4" s="279"/>
      <c r="AM4" s="279"/>
      <c r="AN4" s="279"/>
      <c r="AO4" s="279"/>
      <c r="AP4" s="279"/>
      <c r="AQ4" s="279"/>
      <c r="AR4" s="279"/>
      <c r="AS4" s="279"/>
      <c r="AT4" s="279"/>
      <c r="AU4" s="279"/>
      <c r="AV4" s="279"/>
      <c r="AW4" s="279"/>
      <c r="AX4" s="279"/>
      <c r="AY4" s="279"/>
      <c r="AZ4" s="279"/>
      <c r="BA4" s="279"/>
      <c r="BB4" s="279"/>
      <c r="BC4" s="279"/>
      <c r="BD4" s="279"/>
      <c r="BE4" s="279"/>
      <c r="BF4" s="279"/>
      <c r="BG4" s="279"/>
      <c r="BH4" s="279"/>
      <c r="BI4" s="279"/>
      <c r="BJ4" s="279"/>
      <c r="BK4" s="279"/>
      <c r="BL4" s="279"/>
      <c r="BM4" s="279"/>
      <c r="BN4" s="279"/>
      <c r="BO4" s="279"/>
      <c r="BP4" s="279"/>
      <c r="BQ4" s="279"/>
      <c r="BR4" s="281"/>
      <c r="BS4" s="281"/>
      <c r="BT4" s="281"/>
      <c r="BU4" s="279"/>
      <c r="BV4" s="279"/>
      <c r="BW4" s="279"/>
      <c r="BX4" s="279"/>
      <c r="BY4" s="279"/>
      <c r="BZ4" s="279"/>
      <c r="CA4" s="279"/>
      <c r="CB4" s="279"/>
      <c r="CC4" s="279"/>
      <c r="CD4" s="279"/>
      <c r="CE4" s="279"/>
      <c r="CF4" s="279"/>
      <c r="CG4" s="279"/>
      <c r="CH4" s="279"/>
      <c r="CI4" s="279"/>
      <c r="CJ4" s="279"/>
      <c r="CK4" s="279"/>
      <c r="CL4" s="279"/>
      <c r="CM4" s="279"/>
      <c r="CN4" s="279"/>
      <c r="CO4" s="279"/>
      <c r="CS4" s="279"/>
      <c r="CT4" s="279"/>
      <c r="CU4" s="279"/>
      <c r="FU4" s="286" t="s">
        <v>424</v>
      </c>
    </row>
    <row r="5" spans="1:177" s="287" customFormat="1" ht="20.25" customHeight="1" x14ac:dyDescent="0.25">
      <c r="C5" s="288"/>
      <c r="D5" s="289" t="s">
        <v>425</v>
      </c>
      <c r="E5" s="288"/>
      <c r="F5" s="288"/>
      <c r="G5" s="288"/>
      <c r="H5" s="290"/>
      <c r="I5" s="290"/>
      <c r="J5" s="291" t="s">
        <v>426</v>
      </c>
      <c r="K5" s="291"/>
      <c r="L5" s="291"/>
      <c r="M5" s="292" t="s">
        <v>427</v>
      </c>
      <c r="N5" s="292"/>
      <c r="O5" s="292"/>
      <c r="P5" s="291" t="s">
        <v>428</v>
      </c>
      <c r="Q5" s="291"/>
      <c r="R5" s="291"/>
      <c r="S5" s="292" t="s">
        <v>429</v>
      </c>
      <c r="T5" s="292"/>
      <c r="U5" s="292"/>
      <c r="V5" s="291" t="s">
        <v>430</v>
      </c>
      <c r="W5" s="291"/>
      <c r="X5" s="291"/>
      <c r="Y5" s="292" t="s">
        <v>431</v>
      </c>
      <c r="Z5" s="292"/>
      <c r="AA5" s="292"/>
      <c r="AB5" s="291" t="s">
        <v>432</v>
      </c>
      <c r="AC5" s="291"/>
      <c r="AD5" s="291"/>
      <c r="AE5" s="292" t="s">
        <v>433</v>
      </c>
      <c r="AF5" s="292"/>
      <c r="AG5" s="292"/>
      <c r="AH5" s="291" t="s">
        <v>434</v>
      </c>
      <c r="AI5" s="291"/>
      <c r="AJ5" s="291"/>
      <c r="AK5" s="292" t="s">
        <v>435</v>
      </c>
      <c r="AL5" s="292"/>
      <c r="AM5" s="292"/>
      <c r="AN5" s="291" t="s">
        <v>436</v>
      </c>
      <c r="AO5" s="291"/>
      <c r="AP5" s="291"/>
      <c r="AQ5" s="292" t="s">
        <v>437</v>
      </c>
      <c r="AR5" s="292"/>
      <c r="AS5" s="292"/>
      <c r="AT5" s="291" t="s">
        <v>438</v>
      </c>
      <c r="AU5" s="291"/>
      <c r="AV5" s="291"/>
      <c r="AW5" s="292" t="s">
        <v>439</v>
      </c>
      <c r="AX5" s="292"/>
      <c r="AY5" s="292"/>
      <c r="AZ5" s="291" t="s">
        <v>440</v>
      </c>
      <c r="BA5" s="291"/>
      <c r="BB5" s="291"/>
      <c r="BC5" s="292" t="s">
        <v>441</v>
      </c>
      <c r="BD5" s="292"/>
      <c r="BE5" s="292"/>
      <c r="BF5" s="291" t="s">
        <v>442</v>
      </c>
      <c r="BG5" s="291"/>
      <c r="BH5" s="291"/>
      <c r="BI5" s="292" t="s">
        <v>443</v>
      </c>
      <c r="BJ5" s="292"/>
      <c r="BK5" s="292"/>
      <c r="BL5" s="291" t="s">
        <v>444</v>
      </c>
      <c r="BM5" s="291"/>
      <c r="BN5" s="291"/>
      <c r="BO5" s="292" t="s">
        <v>445</v>
      </c>
      <c r="BP5" s="292"/>
      <c r="BQ5" s="292"/>
      <c r="BR5" s="293" t="s">
        <v>446</v>
      </c>
      <c r="BS5" s="293"/>
      <c r="BT5" s="293"/>
      <c r="BU5" s="292" t="s">
        <v>447</v>
      </c>
      <c r="BV5" s="292"/>
      <c r="BW5" s="292"/>
      <c r="BX5" s="291" t="s">
        <v>448</v>
      </c>
      <c r="BY5" s="291"/>
      <c r="BZ5" s="291"/>
      <c r="CA5" s="292" t="s">
        <v>449</v>
      </c>
      <c r="CB5" s="292"/>
      <c r="CC5" s="292"/>
      <c r="CD5" s="291" t="s">
        <v>450</v>
      </c>
      <c r="CE5" s="291"/>
      <c r="CF5" s="291"/>
      <c r="CG5" s="292" t="s">
        <v>451</v>
      </c>
      <c r="CH5" s="292"/>
      <c r="CI5" s="292"/>
      <c r="CJ5" s="291" t="s">
        <v>452</v>
      </c>
      <c r="CK5" s="291"/>
      <c r="CL5" s="291"/>
      <c r="CM5" s="292" t="s">
        <v>453</v>
      </c>
      <c r="CN5" s="292"/>
      <c r="CO5" s="292"/>
      <c r="CP5" s="291" t="s">
        <v>454</v>
      </c>
      <c r="CQ5" s="291"/>
      <c r="CR5" s="291"/>
      <c r="CS5" s="292" t="s">
        <v>455</v>
      </c>
      <c r="CT5" s="292"/>
      <c r="CU5" s="292"/>
      <c r="CV5" s="291" t="s">
        <v>456</v>
      </c>
      <c r="CW5" s="291"/>
      <c r="CX5" s="291"/>
      <c r="CY5" s="292" t="s">
        <v>457</v>
      </c>
      <c r="CZ5" s="292"/>
      <c r="DA5" s="292"/>
      <c r="DB5" s="291" t="s">
        <v>458</v>
      </c>
      <c r="DC5" s="291"/>
      <c r="DD5" s="291"/>
      <c r="DE5" s="292" t="s">
        <v>459</v>
      </c>
      <c r="DF5" s="292"/>
      <c r="DG5" s="292"/>
      <c r="DH5" s="291" t="s">
        <v>460</v>
      </c>
      <c r="DI5" s="291"/>
      <c r="DJ5" s="291"/>
      <c r="DK5" s="292" t="s">
        <v>461</v>
      </c>
      <c r="DL5" s="292"/>
      <c r="DM5" s="292"/>
      <c r="DN5" s="291" t="s">
        <v>462</v>
      </c>
      <c r="DO5" s="291"/>
      <c r="DP5" s="291"/>
      <c r="DQ5" s="292" t="s">
        <v>463</v>
      </c>
      <c r="DR5" s="292"/>
      <c r="DS5" s="292"/>
      <c r="DT5" s="291" t="s">
        <v>464</v>
      </c>
      <c r="DU5" s="291"/>
      <c r="DV5" s="291"/>
      <c r="DW5" s="292" t="s">
        <v>465</v>
      </c>
      <c r="DX5" s="292"/>
      <c r="DY5" s="292"/>
      <c r="DZ5" s="291" t="s">
        <v>466</v>
      </c>
      <c r="EA5" s="291"/>
      <c r="EB5" s="291"/>
      <c r="EC5" s="292" t="s">
        <v>467</v>
      </c>
      <c r="ED5" s="292"/>
      <c r="EE5" s="292"/>
      <c r="EF5" s="291" t="s">
        <v>468</v>
      </c>
      <c r="EG5" s="291"/>
      <c r="EH5" s="291"/>
      <c r="EI5" s="292" t="s">
        <v>469</v>
      </c>
      <c r="EJ5" s="292"/>
      <c r="EK5" s="292"/>
      <c r="EL5" s="291" t="s">
        <v>470</v>
      </c>
      <c r="EM5" s="291"/>
      <c r="EN5" s="291"/>
      <c r="EO5" s="292" t="s">
        <v>471</v>
      </c>
      <c r="EP5" s="292"/>
      <c r="EQ5" s="292"/>
      <c r="ER5" s="291" t="s">
        <v>472</v>
      </c>
      <c r="ES5" s="291"/>
      <c r="ET5" s="291"/>
      <c r="EU5" s="292" t="s">
        <v>473</v>
      </c>
      <c r="EV5" s="292"/>
      <c r="EW5" s="292"/>
      <c r="EX5" s="291" t="s">
        <v>474</v>
      </c>
      <c r="EY5" s="291"/>
      <c r="EZ5" s="291"/>
      <c r="FA5" s="292" t="s">
        <v>475</v>
      </c>
      <c r="FB5" s="292"/>
      <c r="FC5" s="292"/>
      <c r="FD5" s="291" t="s">
        <v>476</v>
      </c>
      <c r="FE5" s="291"/>
      <c r="FF5" s="291"/>
      <c r="FG5" s="292" t="s">
        <v>477</v>
      </c>
      <c r="FH5" s="292"/>
      <c r="FI5" s="292"/>
      <c r="FJ5" s="291" t="s">
        <v>478</v>
      </c>
      <c r="FK5" s="291"/>
      <c r="FL5" s="291"/>
      <c r="FM5" s="292" t="s">
        <v>479</v>
      </c>
      <c r="FN5" s="292"/>
      <c r="FO5" s="292"/>
      <c r="FP5" s="291" t="s">
        <v>480</v>
      </c>
      <c r="FQ5" s="291"/>
      <c r="FR5" s="291"/>
      <c r="FS5" s="292" t="s">
        <v>481</v>
      </c>
      <c r="FT5" s="292"/>
      <c r="FU5" s="292"/>
    </row>
    <row r="6" spans="1:177" s="287" customFormat="1" ht="21.75" customHeight="1" x14ac:dyDescent="0.25">
      <c r="H6" s="294"/>
      <c r="I6" s="294"/>
      <c r="J6" s="295" t="s">
        <v>482</v>
      </c>
      <c r="K6" s="295" t="s">
        <v>483</v>
      </c>
      <c r="L6" s="295" t="s">
        <v>484</v>
      </c>
      <c r="M6" s="296" t="s">
        <v>482</v>
      </c>
      <c r="N6" s="296" t="s">
        <v>483</v>
      </c>
      <c r="O6" s="296" t="s">
        <v>484</v>
      </c>
      <c r="P6" s="295" t="s">
        <v>482</v>
      </c>
      <c r="Q6" s="295" t="s">
        <v>483</v>
      </c>
      <c r="R6" s="295" t="s">
        <v>484</v>
      </c>
      <c r="S6" s="296" t="s">
        <v>482</v>
      </c>
      <c r="T6" s="296" t="s">
        <v>483</v>
      </c>
      <c r="U6" s="296" t="s">
        <v>484</v>
      </c>
      <c r="V6" s="295" t="s">
        <v>482</v>
      </c>
      <c r="W6" s="295" t="s">
        <v>483</v>
      </c>
      <c r="X6" s="295" t="s">
        <v>484</v>
      </c>
      <c r="Y6" s="296" t="s">
        <v>482</v>
      </c>
      <c r="Z6" s="296" t="s">
        <v>483</v>
      </c>
      <c r="AA6" s="296" t="s">
        <v>484</v>
      </c>
      <c r="AB6" s="295" t="s">
        <v>482</v>
      </c>
      <c r="AC6" s="295" t="s">
        <v>483</v>
      </c>
      <c r="AD6" s="295" t="s">
        <v>484</v>
      </c>
      <c r="AE6" s="296" t="s">
        <v>482</v>
      </c>
      <c r="AF6" s="296" t="s">
        <v>483</v>
      </c>
      <c r="AG6" s="296" t="s">
        <v>484</v>
      </c>
      <c r="AH6" s="295" t="s">
        <v>482</v>
      </c>
      <c r="AI6" s="295" t="s">
        <v>483</v>
      </c>
      <c r="AJ6" s="295" t="s">
        <v>484</v>
      </c>
      <c r="AK6" s="296" t="s">
        <v>482</v>
      </c>
      <c r="AL6" s="296" t="s">
        <v>483</v>
      </c>
      <c r="AM6" s="296" t="s">
        <v>484</v>
      </c>
      <c r="AN6" s="295" t="s">
        <v>482</v>
      </c>
      <c r="AO6" s="295" t="s">
        <v>483</v>
      </c>
      <c r="AP6" s="295" t="s">
        <v>484</v>
      </c>
      <c r="AQ6" s="296" t="s">
        <v>482</v>
      </c>
      <c r="AR6" s="296" t="s">
        <v>483</v>
      </c>
      <c r="AS6" s="296" t="s">
        <v>484</v>
      </c>
      <c r="AT6" s="295" t="s">
        <v>482</v>
      </c>
      <c r="AU6" s="295" t="s">
        <v>483</v>
      </c>
      <c r="AV6" s="295" t="s">
        <v>484</v>
      </c>
      <c r="AW6" s="296" t="s">
        <v>482</v>
      </c>
      <c r="AX6" s="296" t="s">
        <v>483</v>
      </c>
      <c r="AY6" s="296" t="s">
        <v>484</v>
      </c>
      <c r="AZ6" s="295" t="s">
        <v>482</v>
      </c>
      <c r="BA6" s="295" t="s">
        <v>483</v>
      </c>
      <c r="BB6" s="295" t="s">
        <v>484</v>
      </c>
      <c r="BC6" s="296" t="s">
        <v>482</v>
      </c>
      <c r="BD6" s="296" t="s">
        <v>483</v>
      </c>
      <c r="BE6" s="296" t="s">
        <v>484</v>
      </c>
      <c r="BF6" s="295" t="s">
        <v>482</v>
      </c>
      <c r="BG6" s="295" t="s">
        <v>483</v>
      </c>
      <c r="BH6" s="295" t="s">
        <v>484</v>
      </c>
      <c r="BI6" s="296" t="s">
        <v>482</v>
      </c>
      <c r="BJ6" s="296" t="s">
        <v>483</v>
      </c>
      <c r="BK6" s="296" t="s">
        <v>484</v>
      </c>
      <c r="BL6" s="295" t="s">
        <v>482</v>
      </c>
      <c r="BM6" s="295" t="s">
        <v>483</v>
      </c>
      <c r="BN6" s="295" t="s">
        <v>484</v>
      </c>
      <c r="BO6" s="296" t="s">
        <v>482</v>
      </c>
      <c r="BP6" s="296" t="s">
        <v>483</v>
      </c>
      <c r="BQ6" s="296" t="s">
        <v>484</v>
      </c>
      <c r="BR6" s="297" t="s">
        <v>482</v>
      </c>
      <c r="BS6" s="297" t="s">
        <v>483</v>
      </c>
      <c r="BT6" s="297" t="s">
        <v>484</v>
      </c>
      <c r="BU6" s="296" t="s">
        <v>482</v>
      </c>
      <c r="BV6" s="296" t="s">
        <v>483</v>
      </c>
      <c r="BW6" s="296" t="s">
        <v>484</v>
      </c>
      <c r="BX6" s="295" t="s">
        <v>482</v>
      </c>
      <c r="BY6" s="295" t="s">
        <v>483</v>
      </c>
      <c r="BZ6" s="295" t="s">
        <v>484</v>
      </c>
      <c r="CA6" s="296" t="s">
        <v>482</v>
      </c>
      <c r="CB6" s="296" t="s">
        <v>483</v>
      </c>
      <c r="CC6" s="296" t="s">
        <v>484</v>
      </c>
      <c r="CD6" s="295" t="s">
        <v>482</v>
      </c>
      <c r="CE6" s="295" t="s">
        <v>483</v>
      </c>
      <c r="CF6" s="295" t="s">
        <v>484</v>
      </c>
      <c r="CG6" s="296" t="s">
        <v>482</v>
      </c>
      <c r="CH6" s="296" t="s">
        <v>483</v>
      </c>
      <c r="CI6" s="296" t="s">
        <v>484</v>
      </c>
      <c r="CJ6" s="295" t="s">
        <v>482</v>
      </c>
      <c r="CK6" s="295" t="s">
        <v>483</v>
      </c>
      <c r="CL6" s="295" t="s">
        <v>484</v>
      </c>
      <c r="CM6" s="296" t="s">
        <v>482</v>
      </c>
      <c r="CN6" s="296" t="s">
        <v>483</v>
      </c>
      <c r="CO6" s="296" t="s">
        <v>484</v>
      </c>
      <c r="CP6" s="295" t="s">
        <v>482</v>
      </c>
      <c r="CQ6" s="295" t="s">
        <v>483</v>
      </c>
      <c r="CR6" s="295" t="s">
        <v>484</v>
      </c>
      <c r="CS6" s="296" t="s">
        <v>482</v>
      </c>
      <c r="CT6" s="296" t="s">
        <v>483</v>
      </c>
      <c r="CU6" s="296" t="s">
        <v>484</v>
      </c>
      <c r="CV6" s="295" t="s">
        <v>482</v>
      </c>
      <c r="CW6" s="295" t="s">
        <v>483</v>
      </c>
      <c r="CX6" s="295" t="s">
        <v>484</v>
      </c>
      <c r="CY6" s="296" t="s">
        <v>482</v>
      </c>
      <c r="CZ6" s="296" t="s">
        <v>483</v>
      </c>
      <c r="DA6" s="296" t="s">
        <v>484</v>
      </c>
      <c r="DB6" s="295" t="s">
        <v>482</v>
      </c>
      <c r="DC6" s="295" t="s">
        <v>483</v>
      </c>
      <c r="DD6" s="295" t="s">
        <v>484</v>
      </c>
      <c r="DE6" s="296" t="s">
        <v>482</v>
      </c>
      <c r="DF6" s="296" t="s">
        <v>483</v>
      </c>
      <c r="DG6" s="296" t="s">
        <v>484</v>
      </c>
      <c r="DH6" s="295" t="s">
        <v>482</v>
      </c>
      <c r="DI6" s="295" t="s">
        <v>483</v>
      </c>
      <c r="DJ6" s="295" t="s">
        <v>484</v>
      </c>
      <c r="DK6" s="296" t="s">
        <v>482</v>
      </c>
      <c r="DL6" s="296" t="s">
        <v>483</v>
      </c>
      <c r="DM6" s="296" t="s">
        <v>484</v>
      </c>
      <c r="DN6" s="295" t="s">
        <v>482</v>
      </c>
      <c r="DO6" s="295" t="s">
        <v>483</v>
      </c>
      <c r="DP6" s="295" t="s">
        <v>484</v>
      </c>
      <c r="DQ6" s="296" t="s">
        <v>482</v>
      </c>
      <c r="DR6" s="296" t="s">
        <v>483</v>
      </c>
      <c r="DS6" s="296" t="s">
        <v>484</v>
      </c>
      <c r="DT6" s="295" t="s">
        <v>482</v>
      </c>
      <c r="DU6" s="295" t="s">
        <v>483</v>
      </c>
      <c r="DV6" s="295" t="s">
        <v>484</v>
      </c>
      <c r="DW6" s="296" t="s">
        <v>482</v>
      </c>
      <c r="DX6" s="296" t="s">
        <v>483</v>
      </c>
      <c r="DY6" s="296" t="s">
        <v>484</v>
      </c>
      <c r="DZ6" s="295" t="s">
        <v>482</v>
      </c>
      <c r="EA6" s="295" t="s">
        <v>483</v>
      </c>
      <c r="EB6" s="295" t="s">
        <v>484</v>
      </c>
      <c r="EC6" s="296" t="s">
        <v>482</v>
      </c>
      <c r="ED6" s="296" t="s">
        <v>483</v>
      </c>
      <c r="EE6" s="296" t="s">
        <v>484</v>
      </c>
      <c r="EF6" s="295" t="s">
        <v>482</v>
      </c>
      <c r="EG6" s="295" t="s">
        <v>483</v>
      </c>
      <c r="EH6" s="295" t="s">
        <v>484</v>
      </c>
      <c r="EI6" s="296" t="s">
        <v>482</v>
      </c>
      <c r="EJ6" s="296" t="s">
        <v>483</v>
      </c>
      <c r="EK6" s="296" t="s">
        <v>484</v>
      </c>
      <c r="EL6" s="295" t="s">
        <v>482</v>
      </c>
      <c r="EM6" s="295" t="s">
        <v>483</v>
      </c>
      <c r="EN6" s="295" t="s">
        <v>484</v>
      </c>
      <c r="EO6" s="296" t="s">
        <v>482</v>
      </c>
      <c r="EP6" s="296" t="s">
        <v>483</v>
      </c>
      <c r="EQ6" s="296" t="s">
        <v>484</v>
      </c>
      <c r="ER6" s="295" t="s">
        <v>482</v>
      </c>
      <c r="ES6" s="295" t="s">
        <v>483</v>
      </c>
      <c r="ET6" s="295" t="s">
        <v>484</v>
      </c>
      <c r="EU6" s="296" t="s">
        <v>482</v>
      </c>
      <c r="EV6" s="296" t="s">
        <v>483</v>
      </c>
      <c r="EW6" s="296" t="s">
        <v>484</v>
      </c>
      <c r="EX6" s="295" t="s">
        <v>482</v>
      </c>
      <c r="EY6" s="295" t="s">
        <v>483</v>
      </c>
      <c r="EZ6" s="295" t="s">
        <v>484</v>
      </c>
      <c r="FA6" s="296" t="s">
        <v>482</v>
      </c>
      <c r="FB6" s="296" t="s">
        <v>483</v>
      </c>
      <c r="FC6" s="296" t="s">
        <v>484</v>
      </c>
      <c r="FD6" s="295" t="s">
        <v>482</v>
      </c>
      <c r="FE6" s="295" t="s">
        <v>483</v>
      </c>
      <c r="FF6" s="295" t="s">
        <v>484</v>
      </c>
      <c r="FG6" s="296" t="s">
        <v>482</v>
      </c>
      <c r="FH6" s="296" t="s">
        <v>483</v>
      </c>
      <c r="FI6" s="296" t="s">
        <v>484</v>
      </c>
      <c r="FJ6" s="295" t="s">
        <v>482</v>
      </c>
      <c r="FK6" s="295" t="s">
        <v>483</v>
      </c>
      <c r="FL6" s="295" t="s">
        <v>484</v>
      </c>
      <c r="FM6" s="296" t="s">
        <v>482</v>
      </c>
      <c r="FN6" s="296" t="s">
        <v>483</v>
      </c>
      <c r="FO6" s="296" t="s">
        <v>484</v>
      </c>
      <c r="FP6" s="295" t="s">
        <v>482</v>
      </c>
      <c r="FQ6" s="295" t="s">
        <v>483</v>
      </c>
      <c r="FR6" s="295" t="s">
        <v>484</v>
      </c>
      <c r="FS6" s="296" t="s">
        <v>482</v>
      </c>
      <c r="FT6" s="296" t="s">
        <v>483</v>
      </c>
      <c r="FU6" s="296" t="s">
        <v>484</v>
      </c>
    </row>
    <row r="7" spans="1:177" s="284" customFormat="1" ht="14.25" customHeight="1" x14ac:dyDescent="0.2">
      <c r="D7" s="284" t="s">
        <v>485</v>
      </c>
      <c r="H7" s="276"/>
      <c r="I7" s="276"/>
      <c r="J7" s="298">
        <v>3504.0329650489575</v>
      </c>
      <c r="K7" s="298">
        <v>5966.5175495506774</v>
      </c>
      <c r="L7" s="298">
        <v>-2462.4845845017203</v>
      </c>
      <c r="M7" s="299">
        <v>3205.0600523774283</v>
      </c>
      <c r="N7" s="299">
        <v>5051.046383880871</v>
      </c>
      <c r="O7" s="299">
        <v>-1845.9863315034427</v>
      </c>
      <c r="P7" s="298">
        <v>3374.5715058478863</v>
      </c>
      <c r="Q7" s="298">
        <v>5021.5404354827824</v>
      </c>
      <c r="R7" s="298">
        <v>-1646.9689296348963</v>
      </c>
      <c r="S7" s="299">
        <v>3489.7780755590134</v>
      </c>
      <c r="T7" s="299">
        <v>5689.5097983279184</v>
      </c>
      <c r="U7" s="299">
        <v>-2199.7317227689045</v>
      </c>
      <c r="V7" s="298">
        <v>3525.7148091930894</v>
      </c>
      <c r="W7" s="298">
        <v>5364.2792904943844</v>
      </c>
      <c r="X7" s="298">
        <v>-1838.5644813012946</v>
      </c>
      <c r="Y7" s="299">
        <v>3385.7172631337494</v>
      </c>
      <c r="Z7" s="299">
        <v>5440.1822639131424</v>
      </c>
      <c r="AA7" s="299">
        <v>-2054.465000779393</v>
      </c>
      <c r="AB7" s="298">
        <v>3869.3829403664545</v>
      </c>
      <c r="AC7" s="298">
        <v>5265.6016594087041</v>
      </c>
      <c r="AD7" s="298">
        <v>-1396.2187190422499</v>
      </c>
      <c r="AE7" s="299">
        <v>4298.5177252764179</v>
      </c>
      <c r="AF7" s="299">
        <v>5437.9267472101292</v>
      </c>
      <c r="AG7" s="299">
        <v>-1139.4090219337115</v>
      </c>
      <c r="AH7" s="298">
        <v>4267.2168692365012</v>
      </c>
      <c r="AI7" s="298">
        <v>5673.7944875026278</v>
      </c>
      <c r="AJ7" s="298">
        <v>-1406.577618266127</v>
      </c>
      <c r="AK7" s="299">
        <v>3944.7326666196172</v>
      </c>
      <c r="AL7" s="299">
        <v>5174.9225501765213</v>
      </c>
      <c r="AM7" s="299">
        <v>-1230.1898835569036</v>
      </c>
      <c r="AN7" s="298">
        <v>4263.2460086748661</v>
      </c>
      <c r="AO7" s="298">
        <v>6124.9585884321232</v>
      </c>
      <c r="AP7" s="298">
        <v>-1861.7125797572567</v>
      </c>
      <c r="AQ7" s="299">
        <v>4259.8314965499449</v>
      </c>
      <c r="AR7" s="299">
        <v>6167.9578726760428</v>
      </c>
      <c r="AS7" s="299">
        <v>-1908.1263761260984</v>
      </c>
      <c r="AT7" s="298">
        <v>4535.2369449310227</v>
      </c>
      <c r="AU7" s="298">
        <v>5801.2939510480892</v>
      </c>
      <c r="AV7" s="298">
        <v>-1266.0570061170661</v>
      </c>
      <c r="AW7" s="299">
        <v>4004.4460120848007</v>
      </c>
      <c r="AX7" s="299">
        <v>5781.4665167025232</v>
      </c>
      <c r="AY7" s="299">
        <v>-1777.020504617723</v>
      </c>
      <c r="AZ7" s="298">
        <v>4230.7875829745653</v>
      </c>
      <c r="BA7" s="298">
        <v>5616.8689107585042</v>
      </c>
      <c r="BB7" s="298">
        <v>-1386.0813277839393</v>
      </c>
      <c r="BC7" s="299">
        <v>4172.6913839116896</v>
      </c>
      <c r="BD7" s="299">
        <v>5806.8472155604377</v>
      </c>
      <c r="BE7" s="299">
        <v>-1634.1558316487478</v>
      </c>
      <c r="BF7" s="298">
        <v>4667.3011033197126</v>
      </c>
      <c r="BG7" s="298">
        <v>5680.0970389289341</v>
      </c>
      <c r="BH7" s="298">
        <v>-1012.7959356092217</v>
      </c>
      <c r="BI7" s="299">
        <v>3956.2028679361142</v>
      </c>
      <c r="BJ7" s="299">
        <v>5820.2196949052613</v>
      </c>
      <c r="BK7" s="299">
        <v>-1864.0168269691476</v>
      </c>
      <c r="BL7" s="298">
        <v>4471.3767907591591</v>
      </c>
      <c r="BM7" s="298">
        <v>5612.3348377664788</v>
      </c>
      <c r="BN7" s="298">
        <v>-1140.9580470073192</v>
      </c>
      <c r="BO7" s="299">
        <v>4352.9748143392535</v>
      </c>
      <c r="BP7" s="299">
        <v>6329.0725193922344</v>
      </c>
      <c r="BQ7" s="299">
        <v>-1976.0977050529809</v>
      </c>
      <c r="BR7" s="300">
        <v>4852.9751079663183</v>
      </c>
      <c r="BS7" s="300">
        <v>6411.3683795875768</v>
      </c>
      <c r="BT7" s="300">
        <v>-1558.3932716212582</v>
      </c>
      <c r="BU7" s="299">
        <v>4303.507267306727</v>
      </c>
      <c r="BV7" s="299">
        <v>5979.1377715296712</v>
      </c>
      <c r="BW7" s="299">
        <v>-1675.6305042229444</v>
      </c>
      <c r="BX7" s="298">
        <v>4992.740156415688</v>
      </c>
      <c r="BY7" s="298">
        <v>6200.6219978613017</v>
      </c>
      <c r="BZ7" s="298">
        <v>-1207.8818414456139</v>
      </c>
      <c r="CA7" s="299">
        <v>4934.95847556838</v>
      </c>
      <c r="CB7" s="299">
        <v>6810.1008510845204</v>
      </c>
      <c r="CC7" s="299">
        <v>-1875.1423755161404</v>
      </c>
      <c r="CD7" s="298">
        <v>5348.355455902808</v>
      </c>
      <c r="CE7" s="298">
        <v>7155.8158330567021</v>
      </c>
      <c r="CF7" s="298">
        <v>-1807.4603771538946</v>
      </c>
      <c r="CG7" s="299">
        <v>4631.1168718057952</v>
      </c>
      <c r="CH7" s="299">
        <v>6638.8764689814898</v>
      </c>
      <c r="CI7" s="299">
        <v>-2007.7595971756946</v>
      </c>
      <c r="CJ7" s="298">
        <v>5265.4881829147489</v>
      </c>
      <c r="CK7" s="298">
        <v>6556.6440172699849</v>
      </c>
      <c r="CL7" s="298">
        <v>-1291.1558343552363</v>
      </c>
      <c r="CM7" s="299">
        <v>5018.8320406704433</v>
      </c>
      <c r="CN7" s="299">
        <v>6489.2504893832984</v>
      </c>
      <c r="CO7" s="299">
        <v>-1470.4184487128548</v>
      </c>
      <c r="CP7" s="298">
        <v>5604.9862697271692</v>
      </c>
      <c r="CQ7" s="298">
        <v>6033.0990193537518</v>
      </c>
      <c r="CR7" s="298">
        <v>-428.1127496265824</v>
      </c>
      <c r="CS7" s="299">
        <v>4305.7298269280973</v>
      </c>
      <c r="CT7" s="299">
        <v>5929.0520410230765</v>
      </c>
      <c r="CU7" s="299">
        <v>-1623.3222140949799</v>
      </c>
      <c r="CV7" s="298">
        <v>4707.429792931367</v>
      </c>
      <c r="CW7" s="298">
        <v>6122.1637096960876</v>
      </c>
      <c r="CX7" s="298">
        <v>-1414.7339167647206</v>
      </c>
      <c r="CY7" s="299">
        <v>4796.1768345508572</v>
      </c>
      <c r="CZ7" s="299">
        <v>6477.6754356842066</v>
      </c>
      <c r="DA7" s="299">
        <v>-1681.4986011333494</v>
      </c>
      <c r="DB7" s="298">
        <v>4216.189647421852</v>
      </c>
      <c r="DC7" s="298">
        <v>5396.7798491640915</v>
      </c>
      <c r="DD7" s="298">
        <v>-1180.5902017422395</v>
      </c>
      <c r="DE7" s="299">
        <v>2232.407780997436</v>
      </c>
      <c r="DF7" s="299">
        <v>3584.3608006920322</v>
      </c>
      <c r="DG7" s="299">
        <v>-1351.9530196945962</v>
      </c>
      <c r="DH7" s="298">
        <v>3523.7919219205432</v>
      </c>
      <c r="DI7" s="298">
        <v>4538.5174279148732</v>
      </c>
      <c r="DJ7" s="298">
        <v>-1014.7255059943296</v>
      </c>
      <c r="DK7" s="299">
        <v>3110.410322187166</v>
      </c>
      <c r="DL7" s="299">
        <v>4751.6778190262021</v>
      </c>
      <c r="DM7" s="299">
        <v>-1641.2674968390356</v>
      </c>
      <c r="DN7" s="298">
        <v>3471.6069207384071</v>
      </c>
      <c r="DO7" s="298">
        <v>5241.4747360081856</v>
      </c>
      <c r="DP7" s="298">
        <v>-1769.8678152697782</v>
      </c>
      <c r="DQ7" s="299">
        <v>3211.9732769993589</v>
      </c>
      <c r="DR7" s="299">
        <v>5160.3789974751835</v>
      </c>
      <c r="DS7" s="299">
        <v>-1948.4057204758244</v>
      </c>
      <c r="DT7" s="298">
        <v>3786.699046042836</v>
      </c>
      <c r="DU7" s="298">
        <v>5137.0947902182652</v>
      </c>
      <c r="DV7" s="298">
        <v>-1350.3957441754292</v>
      </c>
      <c r="DW7" s="299">
        <v>4503.2572544933018</v>
      </c>
      <c r="DX7" s="299">
        <v>5987.0846818052123</v>
      </c>
      <c r="DY7" s="299">
        <v>-1483.8274273119112</v>
      </c>
      <c r="DZ7" s="298">
        <v>4263.470057790847</v>
      </c>
      <c r="EA7" s="298">
        <v>5887.3277823887174</v>
      </c>
      <c r="EB7" s="298">
        <v>-1623.8577245978699</v>
      </c>
      <c r="EC7" s="299">
        <v>3915.0120102203537</v>
      </c>
      <c r="ED7" s="299">
        <v>4588.8880192130191</v>
      </c>
      <c r="EE7" s="299">
        <v>-673.87600899266545</v>
      </c>
      <c r="EF7" s="298">
        <v>4109.4670144614765</v>
      </c>
      <c r="EG7" s="298">
        <v>4270.0139138914228</v>
      </c>
      <c r="EH7" s="298">
        <v>-160.54689942994582</v>
      </c>
      <c r="EI7" s="299">
        <v>3880.8128977257315</v>
      </c>
      <c r="EJ7" s="299">
        <v>4497.4869531538034</v>
      </c>
      <c r="EK7" s="299">
        <v>-616.6740554280716</v>
      </c>
      <c r="EL7" s="298">
        <v>4270.24440556646</v>
      </c>
      <c r="EM7" s="298">
        <v>4450.4456448950632</v>
      </c>
      <c r="EN7" s="298">
        <v>-180.20123932860326</v>
      </c>
      <c r="EO7" s="299">
        <v>4036.5325284596947</v>
      </c>
      <c r="EP7" s="299">
        <v>4837.9480737098038</v>
      </c>
      <c r="EQ7" s="299">
        <v>-801.41554525010861</v>
      </c>
      <c r="ER7" s="298">
        <v>4628.8574202479267</v>
      </c>
      <c r="ES7" s="298">
        <v>4771.8188258740447</v>
      </c>
      <c r="ET7" s="298">
        <v>-142.96140562611788</v>
      </c>
      <c r="EU7" s="299">
        <v>4391.3583050599218</v>
      </c>
      <c r="EV7" s="299">
        <v>5114.2480314863933</v>
      </c>
      <c r="EW7" s="299">
        <v>-722.88972642647127</v>
      </c>
      <c r="EX7" s="301">
        <v>5039.8142948066597</v>
      </c>
      <c r="EY7" s="301">
        <v>5104.3182222955957</v>
      </c>
      <c r="EZ7" s="301">
        <v>-64.503927488935915</v>
      </c>
      <c r="FA7" s="302">
        <v>4422.9297695920741</v>
      </c>
      <c r="FB7" s="302">
        <v>4992.7897314583051</v>
      </c>
      <c r="FC7" s="302">
        <v>-569.85996186623072</v>
      </c>
      <c r="FD7" s="301">
        <v>5175.4856660639653</v>
      </c>
      <c r="FE7" s="301">
        <v>5940.0058469264986</v>
      </c>
      <c r="FF7" s="301">
        <v>-764.52018086253338</v>
      </c>
      <c r="FG7" s="299">
        <v>5043.8240261112423</v>
      </c>
      <c r="FH7" s="299">
        <v>6279.4400794987823</v>
      </c>
      <c r="FI7" s="299">
        <v>-1235.6160533875398</v>
      </c>
      <c r="FJ7" s="301">
        <v>5382.5523888614289</v>
      </c>
      <c r="FK7" s="301">
        <v>5702.2233147447359</v>
      </c>
      <c r="FL7" s="301">
        <v>-319.67092588330729</v>
      </c>
      <c r="FM7" s="302">
        <v>4719.1171183538463</v>
      </c>
      <c r="FN7" s="302">
        <v>5610.4093589773011</v>
      </c>
      <c r="FO7" s="302">
        <v>-891.29224062345486</v>
      </c>
      <c r="FP7" s="301">
        <v>5401.9865951122511</v>
      </c>
      <c r="FQ7" s="301">
        <v>6517.6056999244811</v>
      </c>
      <c r="FR7" s="301">
        <v>-1115.6191048122303</v>
      </c>
      <c r="FS7" s="302">
        <v>5143.4106085271869</v>
      </c>
      <c r="FT7" s="302">
        <v>7008.2395685638821</v>
      </c>
      <c r="FU7" s="302">
        <v>-1864.8289600366952</v>
      </c>
    </row>
    <row r="8" spans="1:177" s="284" customFormat="1" ht="14.1" customHeight="1" x14ac:dyDescent="0.2">
      <c r="E8" s="284" t="s">
        <v>486</v>
      </c>
      <c r="H8" s="276"/>
      <c r="I8" s="276"/>
      <c r="J8" s="298">
        <v>2570.1385686312806</v>
      </c>
      <c r="K8" s="298">
        <v>5349.2454468215628</v>
      </c>
      <c r="L8" s="298">
        <v>-2779.1068781902823</v>
      </c>
      <c r="M8" s="299">
        <v>2309.5763559803104</v>
      </c>
      <c r="N8" s="299">
        <v>4434.4417493593719</v>
      </c>
      <c r="O8" s="299">
        <v>-2124.8653933790615</v>
      </c>
      <c r="P8" s="298">
        <v>2424.8743573396223</v>
      </c>
      <c r="Q8" s="298">
        <v>4389.4349619739742</v>
      </c>
      <c r="R8" s="298">
        <v>-1964.5606046343519</v>
      </c>
      <c r="S8" s="299">
        <v>2468.9403104267399</v>
      </c>
      <c r="T8" s="299">
        <v>5017.0813080451244</v>
      </c>
      <c r="U8" s="299">
        <v>-2548.1409976183845</v>
      </c>
      <c r="V8" s="298">
        <v>2358.4032880560235</v>
      </c>
      <c r="W8" s="298">
        <v>4510.3082393397453</v>
      </c>
      <c r="X8" s="298">
        <v>-2151.9049512837219</v>
      </c>
      <c r="Y8" s="299">
        <v>2298.0200529245549</v>
      </c>
      <c r="Z8" s="299">
        <v>4583.7490139131423</v>
      </c>
      <c r="AA8" s="299">
        <v>-2285.7289609885875</v>
      </c>
      <c r="AB8" s="298">
        <v>2676.973042647041</v>
      </c>
      <c r="AC8" s="298">
        <v>4394.2714945477592</v>
      </c>
      <c r="AD8" s="298">
        <v>-1717.2984519007182</v>
      </c>
      <c r="AE8" s="299">
        <v>3060.8551291240328</v>
      </c>
      <c r="AF8" s="299">
        <v>4514.4266375381449</v>
      </c>
      <c r="AG8" s="299">
        <v>-1453.571508414112</v>
      </c>
      <c r="AH8" s="298">
        <v>2816.3699713165006</v>
      </c>
      <c r="AI8" s="298">
        <v>4747.9744875026281</v>
      </c>
      <c r="AJ8" s="298">
        <v>-1931.6045161861275</v>
      </c>
      <c r="AK8" s="299">
        <v>2633.4801307796174</v>
      </c>
      <c r="AL8" s="299">
        <v>4237.0455501765209</v>
      </c>
      <c r="AM8" s="299">
        <v>-1603.5654193969035</v>
      </c>
      <c r="AN8" s="298">
        <v>2852.104945140426</v>
      </c>
      <c r="AO8" s="298">
        <v>5237.2785349330998</v>
      </c>
      <c r="AP8" s="298">
        <v>-2385.1735897926737</v>
      </c>
      <c r="AQ8" s="299">
        <v>2828.1148945499444</v>
      </c>
      <c r="AR8" s="299">
        <v>5194.467872676043</v>
      </c>
      <c r="AS8" s="299">
        <v>-2366.3529781260986</v>
      </c>
      <c r="AT8" s="298">
        <v>2895.8060553510231</v>
      </c>
      <c r="AU8" s="298">
        <v>4792.0939510480894</v>
      </c>
      <c r="AV8" s="298">
        <v>-1896.2878956970662</v>
      </c>
      <c r="AW8" s="299">
        <v>2548.6020737548006</v>
      </c>
      <c r="AX8" s="299">
        <v>4754.6465167025235</v>
      </c>
      <c r="AY8" s="299">
        <v>-2206.0444429477229</v>
      </c>
      <c r="AZ8" s="298">
        <v>2592.4276844307337</v>
      </c>
      <c r="BA8" s="298">
        <v>4639.9788996208044</v>
      </c>
      <c r="BB8" s="298">
        <v>-2047.5512151900707</v>
      </c>
      <c r="BC8" s="299">
        <v>2509.6631051016893</v>
      </c>
      <c r="BD8" s="299">
        <v>4747.8772155604374</v>
      </c>
      <c r="BE8" s="299">
        <v>-2238.2141104587481</v>
      </c>
      <c r="BF8" s="298">
        <v>2739.2039497997125</v>
      </c>
      <c r="BG8" s="298">
        <v>4594.467038928934</v>
      </c>
      <c r="BH8" s="298">
        <v>-1855.2630891292215</v>
      </c>
      <c r="BI8" s="299">
        <v>2391.0789422488688</v>
      </c>
      <c r="BJ8" s="299">
        <v>4726.5296432513678</v>
      </c>
      <c r="BK8" s="299">
        <v>-2335.450701002499</v>
      </c>
      <c r="BL8" s="298">
        <v>2655.7318724391598</v>
      </c>
      <c r="BM8" s="298">
        <v>4590.1494091950499</v>
      </c>
      <c r="BN8" s="298">
        <v>-1934.4175367558901</v>
      </c>
      <c r="BO8" s="299">
        <v>2523.7257132021109</v>
      </c>
      <c r="BP8" s="299">
        <v>5271.6986384398533</v>
      </c>
      <c r="BQ8" s="299">
        <v>-2747.9729252377424</v>
      </c>
      <c r="BR8" s="300">
        <v>2774.3429318615508</v>
      </c>
      <c r="BS8" s="300">
        <v>5279.4265486901677</v>
      </c>
      <c r="BT8" s="300">
        <v>-2505.0836168286169</v>
      </c>
      <c r="BU8" s="299">
        <v>2623.2098636509995</v>
      </c>
      <c r="BV8" s="299">
        <v>4869.5624157718066</v>
      </c>
      <c r="BW8" s="299">
        <v>-2246.3525521208071</v>
      </c>
      <c r="BX8" s="298">
        <v>3026.8505694355695</v>
      </c>
      <c r="BY8" s="298">
        <v>5114.6848442640749</v>
      </c>
      <c r="BZ8" s="298">
        <v>-2087.8342748285054</v>
      </c>
      <c r="CA8" s="299">
        <v>2936.0152000495232</v>
      </c>
      <c r="CB8" s="299">
        <v>5716.1224860051552</v>
      </c>
      <c r="CC8" s="299">
        <v>-2780.1072859556321</v>
      </c>
      <c r="CD8" s="298">
        <v>2988.6837909428077</v>
      </c>
      <c r="CE8" s="298">
        <v>5971.0058330567026</v>
      </c>
      <c r="CF8" s="298">
        <v>-2982.3220421138949</v>
      </c>
      <c r="CG8" s="299">
        <v>2743.1795318857949</v>
      </c>
      <c r="CH8" s="299">
        <v>5470.0664689814894</v>
      </c>
      <c r="CI8" s="299">
        <v>-2726.8869370956945</v>
      </c>
      <c r="CJ8" s="298">
        <v>3165.7403169147492</v>
      </c>
      <c r="CK8" s="298">
        <v>5409.9940172699853</v>
      </c>
      <c r="CL8" s="298">
        <v>-2244.2537003552361</v>
      </c>
      <c r="CM8" s="299">
        <v>2992.0304677104432</v>
      </c>
      <c r="CN8" s="299">
        <v>5381.6604893832982</v>
      </c>
      <c r="CO8" s="299">
        <v>-2389.630021672855</v>
      </c>
      <c r="CP8" s="298">
        <v>3156.1293145271693</v>
      </c>
      <c r="CQ8" s="298">
        <v>4816.899019353752</v>
      </c>
      <c r="CR8" s="298">
        <v>-1660.7697048265827</v>
      </c>
      <c r="CS8" s="299">
        <v>2843.080174520097</v>
      </c>
      <c r="CT8" s="299">
        <v>4779.1120410230769</v>
      </c>
      <c r="CU8" s="299">
        <v>-1936.0318665029799</v>
      </c>
      <c r="CV8" s="298">
        <v>2984.7945534353671</v>
      </c>
      <c r="CW8" s="298">
        <v>5000.0637096960872</v>
      </c>
      <c r="CX8" s="298">
        <v>-2015.2691562607201</v>
      </c>
      <c r="CY8" s="299">
        <v>2956.0084616708568</v>
      </c>
      <c r="CZ8" s="299">
        <v>5341.0054356842065</v>
      </c>
      <c r="DA8" s="299">
        <v>-2384.9969740133497</v>
      </c>
      <c r="DB8" s="298">
        <v>2649.6203957668522</v>
      </c>
      <c r="DC8" s="298">
        <v>4502.6998491640916</v>
      </c>
      <c r="DD8" s="298">
        <v>-1853.0794533972394</v>
      </c>
      <c r="DE8" s="299">
        <v>1763.1327623277809</v>
      </c>
      <c r="DF8" s="299">
        <v>3171.8807822872054</v>
      </c>
      <c r="DG8" s="299">
        <v>-1408.7480199594245</v>
      </c>
      <c r="DH8" s="298">
        <v>3032.2919219205432</v>
      </c>
      <c r="DI8" s="298">
        <v>4107.6674279148729</v>
      </c>
      <c r="DJ8" s="298">
        <v>-1075.3755059943296</v>
      </c>
      <c r="DK8" s="299">
        <v>2602.3820889221661</v>
      </c>
      <c r="DL8" s="299">
        <v>4273.1278190262019</v>
      </c>
      <c r="DM8" s="299">
        <v>-1670.7457301040358</v>
      </c>
      <c r="DN8" s="298">
        <v>2982.1612431984072</v>
      </c>
      <c r="DO8" s="298">
        <v>5041.1257360081854</v>
      </c>
      <c r="DP8" s="298">
        <v>-2058.9644928097782</v>
      </c>
      <c r="DQ8" s="299">
        <v>2716.9023104593589</v>
      </c>
      <c r="DR8" s="299">
        <v>4973.6099974751833</v>
      </c>
      <c r="DS8" s="299">
        <v>-2256.7076870158244</v>
      </c>
      <c r="DT8" s="298">
        <v>3239.4258858828362</v>
      </c>
      <c r="DU8" s="298">
        <v>4922.7957902182652</v>
      </c>
      <c r="DV8" s="298">
        <v>-1683.3699043354291</v>
      </c>
      <c r="DW8" s="299">
        <v>3560.0925200333018</v>
      </c>
      <c r="DX8" s="299">
        <v>5699.8856818052127</v>
      </c>
      <c r="DY8" s="299">
        <v>-2139.7931617719109</v>
      </c>
      <c r="DZ8" s="298">
        <v>3254.173648980729</v>
      </c>
      <c r="EA8" s="298">
        <v>5651.2457605746331</v>
      </c>
      <c r="EB8" s="298">
        <v>-2397.0721115939041</v>
      </c>
      <c r="EC8" s="299">
        <v>3267.9794359311863</v>
      </c>
      <c r="ED8" s="299">
        <v>4376.9010429176224</v>
      </c>
      <c r="EE8" s="299">
        <v>-1108.921606986436</v>
      </c>
      <c r="EF8" s="298">
        <v>3469.7991841106768</v>
      </c>
      <c r="EG8" s="298">
        <v>4057.0774138914226</v>
      </c>
      <c r="EH8" s="298">
        <v>-587.27822978074573</v>
      </c>
      <c r="EI8" s="299">
        <v>3114.4872073201313</v>
      </c>
      <c r="EJ8" s="299">
        <v>4205.792303153803</v>
      </c>
      <c r="EK8" s="299">
        <v>-1091.3050958336717</v>
      </c>
      <c r="EL8" s="298">
        <v>2997.5842739641357</v>
      </c>
      <c r="EM8" s="298">
        <v>3893.9557358218772</v>
      </c>
      <c r="EN8" s="298">
        <v>-896.37146185774145</v>
      </c>
      <c r="EO8" s="299">
        <v>2873.4424646983789</v>
      </c>
      <c r="EP8" s="299">
        <v>4266.5483264662726</v>
      </c>
      <c r="EQ8" s="299">
        <v>-1393.1058617678937</v>
      </c>
      <c r="ER8" s="298">
        <v>3110.9911217330427</v>
      </c>
      <c r="ES8" s="298">
        <v>4162.8597706435366</v>
      </c>
      <c r="ET8" s="298">
        <v>-1051.8686489104939</v>
      </c>
      <c r="EU8" s="299">
        <v>2928.6923328244102</v>
      </c>
      <c r="EV8" s="299">
        <v>4487.7669768490287</v>
      </c>
      <c r="EW8" s="299">
        <v>-1559.0746440246185</v>
      </c>
      <c r="EX8" s="301">
        <v>3178.5237862201593</v>
      </c>
      <c r="EY8" s="301">
        <v>4397.9072700142078</v>
      </c>
      <c r="EZ8" s="301">
        <v>-1219.3834837940485</v>
      </c>
      <c r="FA8" s="302">
        <v>2965.857747183155</v>
      </c>
      <c r="FB8" s="302">
        <v>4286.4628966402579</v>
      </c>
      <c r="FC8" s="302">
        <v>-1320.6051494571029</v>
      </c>
      <c r="FD8" s="301">
        <v>3373.6987959729649</v>
      </c>
      <c r="FE8" s="301">
        <v>5033.888723955185</v>
      </c>
      <c r="FF8" s="301">
        <v>-1660.1899279822201</v>
      </c>
      <c r="FG8" s="299">
        <v>3253.9125558237429</v>
      </c>
      <c r="FH8" s="299">
        <v>5123.1555449965163</v>
      </c>
      <c r="FI8" s="299">
        <v>-1869.2429891727734</v>
      </c>
      <c r="FJ8" s="301">
        <v>3347.4124574598118</v>
      </c>
      <c r="FK8" s="301">
        <v>4887.035175596764</v>
      </c>
      <c r="FL8" s="301">
        <v>-1539.6227181369522</v>
      </c>
      <c r="FM8" s="302">
        <v>3144.7117345781812</v>
      </c>
      <c r="FN8" s="302">
        <v>4875.1499026518304</v>
      </c>
      <c r="FO8" s="302">
        <v>-1730.4381680736492</v>
      </c>
      <c r="FP8" s="301">
        <v>3722.9894414536575</v>
      </c>
      <c r="FQ8" s="301">
        <v>5627.3021563264947</v>
      </c>
      <c r="FR8" s="301">
        <v>-1904.3127148728372</v>
      </c>
      <c r="FS8" s="302">
        <v>3366.2607270512153</v>
      </c>
      <c r="FT8" s="302">
        <v>6090.4525266490491</v>
      </c>
      <c r="FU8" s="302">
        <v>-2724.1917995978338</v>
      </c>
    </row>
    <row r="9" spans="1:177" ht="14.1" customHeight="1" x14ac:dyDescent="0.2">
      <c r="A9" s="284"/>
      <c r="F9" s="272" t="s">
        <v>487</v>
      </c>
      <c r="J9" s="303">
        <v>2570.1385686312806</v>
      </c>
      <c r="K9" s="303">
        <v>5285.3454468215632</v>
      </c>
      <c r="L9" s="303">
        <v>-2715.2068781902826</v>
      </c>
      <c r="M9" s="304">
        <v>2304.0283559803106</v>
      </c>
      <c r="N9" s="304">
        <v>4362.2417493593721</v>
      </c>
      <c r="O9" s="304">
        <v>-2058.2133933790615</v>
      </c>
      <c r="P9" s="303">
        <v>2424.5653573396221</v>
      </c>
      <c r="Q9" s="303">
        <v>4367.9349619739742</v>
      </c>
      <c r="R9" s="303">
        <v>-1943.3696046343521</v>
      </c>
      <c r="S9" s="304">
        <v>2460.4263104267397</v>
      </c>
      <c r="T9" s="304">
        <v>5004.2813080451242</v>
      </c>
      <c r="U9" s="304">
        <v>-2543.8549976183845</v>
      </c>
      <c r="V9" s="303">
        <v>2356.4032880560235</v>
      </c>
      <c r="W9" s="303">
        <v>4449.708239339745</v>
      </c>
      <c r="X9" s="303">
        <v>-2093.3049512837215</v>
      </c>
      <c r="Y9" s="304">
        <v>2298.0200529245549</v>
      </c>
      <c r="Z9" s="304">
        <v>4443.649013913142</v>
      </c>
      <c r="AA9" s="304">
        <v>-2145.6289609885871</v>
      </c>
      <c r="AB9" s="303">
        <v>2676.973042647041</v>
      </c>
      <c r="AC9" s="303">
        <v>4394.2714945477592</v>
      </c>
      <c r="AD9" s="303">
        <v>-1717.2984519007182</v>
      </c>
      <c r="AE9" s="304">
        <v>3060.8551291240328</v>
      </c>
      <c r="AF9" s="304">
        <v>4514.4266375381449</v>
      </c>
      <c r="AG9" s="304">
        <v>-1453.571508414112</v>
      </c>
      <c r="AH9" s="303">
        <v>2816.3699713165006</v>
      </c>
      <c r="AI9" s="303">
        <v>4747.2655048103034</v>
      </c>
      <c r="AJ9" s="303">
        <v>-1930.8955334938028</v>
      </c>
      <c r="AK9" s="304">
        <v>2633.4801307796174</v>
      </c>
      <c r="AL9" s="304">
        <v>4236.6132285375716</v>
      </c>
      <c r="AM9" s="304">
        <v>-1603.1330977579541</v>
      </c>
      <c r="AN9" s="303">
        <v>2852.104945140426</v>
      </c>
      <c r="AO9" s="303">
        <v>5236.2596328539357</v>
      </c>
      <c r="AP9" s="303">
        <v>-2384.1546877135097</v>
      </c>
      <c r="AQ9" s="304">
        <v>2828.1148945499444</v>
      </c>
      <c r="AR9" s="304">
        <v>5184.9945328147232</v>
      </c>
      <c r="AS9" s="304">
        <v>-2356.8796382647788</v>
      </c>
      <c r="AT9" s="303">
        <v>2895.8060553510231</v>
      </c>
      <c r="AU9" s="303">
        <v>4764.8623452957072</v>
      </c>
      <c r="AV9" s="303">
        <v>-1869.0562899446841</v>
      </c>
      <c r="AW9" s="304">
        <v>2548.6020737548006</v>
      </c>
      <c r="AX9" s="304">
        <v>4740.6865397659349</v>
      </c>
      <c r="AY9" s="304">
        <v>-2192.0844660111343</v>
      </c>
      <c r="AZ9" s="303">
        <v>2592.4276844307337</v>
      </c>
      <c r="BA9" s="303">
        <v>4639.3965701415973</v>
      </c>
      <c r="BB9" s="303">
        <v>-2046.9688857108636</v>
      </c>
      <c r="BC9" s="304">
        <v>2509.6631051016893</v>
      </c>
      <c r="BD9" s="304">
        <v>4747.2887609688905</v>
      </c>
      <c r="BE9" s="304">
        <v>-2237.6256558672012</v>
      </c>
      <c r="BF9" s="303">
        <v>2739.2039497997125</v>
      </c>
      <c r="BG9" s="303">
        <v>4546.5881687902202</v>
      </c>
      <c r="BH9" s="303">
        <v>-1807.3842189905076</v>
      </c>
      <c r="BI9" s="304">
        <v>2391.0789422488688</v>
      </c>
      <c r="BJ9" s="304">
        <v>4628.8388232582965</v>
      </c>
      <c r="BK9" s="304">
        <v>-2237.7598810094278</v>
      </c>
      <c r="BL9" s="303">
        <v>2655.7318724391598</v>
      </c>
      <c r="BM9" s="303">
        <v>4491.4445801678967</v>
      </c>
      <c r="BN9" s="303">
        <v>-1835.7127077287369</v>
      </c>
      <c r="BO9" s="304">
        <v>2523.7257132021109</v>
      </c>
      <c r="BP9" s="304">
        <v>5141.9595284876923</v>
      </c>
      <c r="BQ9" s="304">
        <v>-2618.2338152855814</v>
      </c>
      <c r="BR9" s="305">
        <v>2774.3429318615508</v>
      </c>
      <c r="BS9" s="305">
        <v>5127.9474140658895</v>
      </c>
      <c r="BT9" s="305">
        <v>-2353.6044822043386</v>
      </c>
      <c r="BU9" s="304">
        <v>2623.2098636509995</v>
      </c>
      <c r="BV9" s="304">
        <v>4746.1032537668661</v>
      </c>
      <c r="BW9" s="304">
        <v>-2122.8933901158666</v>
      </c>
      <c r="BX9" s="303">
        <v>3026.8505694355695</v>
      </c>
      <c r="BY9" s="303">
        <v>4954.9056586815313</v>
      </c>
      <c r="BZ9" s="303">
        <v>-1928.0550892459619</v>
      </c>
      <c r="CA9" s="304">
        <v>2936.0152000495232</v>
      </c>
      <c r="CB9" s="304">
        <v>5501.0415710024736</v>
      </c>
      <c r="CC9" s="304">
        <v>-2565.0263709529504</v>
      </c>
      <c r="CD9" s="303">
        <v>2988.6837909428077</v>
      </c>
      <c r="CE9" s="303">
        <v>5625.6720319350406</v>
      </c>
      <c r="CF9" s="303">
        <v>-2636.9882409922329</v>
      </c>
      <c r="CG9" s="304">
        <v>2743.1795318857949</v>
      </c>
      <c r="CH9" s="304">
        <v>5377.5825067554579</v>
      </c>
      <c r="CI9" s="304">
        <v>-2634.402974869663</v>
      </c>
      <c r="CJ9" s="303">
        <v>3165.7403169147492</v>
      </c>
      <c r="CK9" s="303">
        <v>5409.7243731809967</v>
      </c>
      <c r="CL9" s="303">
        <v>-2243.9840562662475</v>
      </c>
      <c r="CM9" s="304">
        <v>2992.0304677104432</v>
      </c>
      <c r="CN9" s="304">
        <v>5381.0430335482015</v>
      </c>
      <c r="CO9" s="304">
        <v>-2389.0125658377583</v>
      </c>
      <c r="CP9" s="303">
        <v>3156.1293145271693</v>
      </c>
      <c r="CQ9" s="303">
        <v>4816.0578943212195</v>
      </c>
      <c r="CR9" s="303">
        <v>-1659.9285797940502</v>
      </c>
      <c r="CS9" s="304">
        <v>2843.080174520097</v>
      </c>
      <c r="CT9" s="304">
        <v>4778.3260874230818</v>
      </c>
      <c r="CU9" s="304">
        <v>-1935.2459129029849</v>
      </c>
      <c r="CV9" s="303">
        <v>2984.7945534353671</v>
      </c>
      <c r="CW9" s="303">
        <v>4999.3751997737772</v>
      </c>
      <c r="CX9" s="303">
        <v>-2014.5806463384101</v>
      </c>
      <c r="CY9" s="304">
        <v>2956.0084616708568</v>
      </c>
      <c r="CZ9" s="304">
        <v>5340.7699548301489</v>
      </c>
      <c r="DA9" s="304">
        <v>-2384.7614931592921</v>
      </c>
      <c r="DB9" s="303">
        <v>2649.6203957668522</v>
      </c>
      <c r="DC9" s="303">
        <v>4502.5016133095032</v>
      </c>
      <c r="DD9" s="303">
        <v>-1852.881217542651</v>
      </c>
      <c r="DE9" s="304">
        <v>1763.1327623277809</v>
      </c>
      <c r="DF9" s="304">
        <v>3171.6426532194328</v>
      </c>
      <c r="DG9" s="304">
        <v>-1408.5098908916518</v>
      </c>
      <c r="DH9" s="303">
        <v>3032.2919219205432</v>
      </c>
      <c r="DI9" s="303">
        <v>4105.6259170944213</v>
      </c>
      <c r="DJ9" s="303">
        <v>-1073.3339951738781</v>
      </c>
      <c r="DK9" s="304">
        <v>2602.3820889221661</v>
      </c>
      <c r="DL9" s="304">
        <v>4266.9877115786448</v>
      </c>
      <c r="DM9" s="304">
        <v>-1664.6056226564788</v>
      </c>
      <c r="DN9" s="303">
        <v>2982.1612431984072</v>
      </c>
      <c r="DO9" s="303">
        <v>5040.8817866505442</v>
      </c>
      <c r="DP9" s="303">
        <v>-2058.720543452137</v>
      </c>
      <c r="DQ9" s="304">
        <v>2716.9023104593589</v>
      </c>
      <c r="DR9" s="304">
        <v>4973.2446793647396</v>
      </c>
      <c r="DS9" s="304">
        <v>-2256.3423689053807</v>
      </c>
      <c r="DT9" s="303">
        <v>3239.4258858828362</v>
      </c>
      <c r="DU9" s="303">
        <v>4922.6077418495506</v>
      </c>
      <c r="DV9" s="303">
        <v>-1683.1818559667145</v>
      </c>
      <c r="DW9" s="304">
        <v>3560.0925200333018</v>
      </c>
      <c r="DX9" s="304">
        <v>5699.5074136280546</v>
      </c>
      <c r="DY9" s="304">
        <v>-2139.4148935947528</v>
      </c>
      <c r="DZ9" s="303">
        <v>3254.173648980729</v>
      </c>
      <c r="EA9" s="303">
        <v>5650.0259144847541</v>
      </c>
      <c r="EB9" s="303">
        <v>-2395.8522655040251</v>
      </c>
      <c r="EC9" s="304">
        <v>3267.9794359311863</v>
      </c>
      <c r="ED9" s="304">
        <v>4376.6557925383586</v>
      </c>
      <c r="EE9" s="304">
        <v>-1108.6763566071722</v>
      </c>
      <c r="EF9" s="303">
        <v>3469.7991841106768</v>
      </c>
      <c r="EG9" s="303">
        <v>4056.6888689647622</v>
      </c>
      <c r="EH9" s="303">
        <v>-586.88968485408532</v>
      </c>
      <c r="EI9" s="304">
        <v>3114.4872073201313</v>
      </c>
      <c r="EJ9" s="304">
        <v>4205.792303153803</v>
      </c>
      <c r="EK9" s="304">
        <v>-1091.3050958336717</v>
      </c>
      <c r="EL9" s="303">
        <v>2997.5842739641357</v>
      </c>
      <c r="EM9" s="303">
        <v>3891.4771050637432</v>
      </c>
      <c r="EN9" s="303">
        <v>-893.89283109960752</v>
      </c>
      <c r="EO9" s="304">
        <v>2873.4424646983789</v>
      </c>
      <c r="EP9" s="304">
        <v>4265.8551970229946</v>
      </c>
      <c r="EQ9" s="304">
        <v>-1392.4127323246157</v>
      </c>
      <c r="ER9" s="303">
        <v>3110.9911217330427</v>
      </c>
      <c r="ES9" s="303">
        <v>4162.101705674665</v>
      </c>
      <c r="ET9" s="303">
        <v>-1051.1105839416223</v>
      </c>
      <c r="EU9" s="304">
        <v>2928.6923328244102</v>
      </c>
      <c r="EV9" s="304">
        <v>4487.1840132366815</v>
      </c>
      <c r="EW9" s="304">
        <v>-1558.4916804122713</v>
      </c>
      <c r="EX9" s="306">
        <v>3178.5237862201593</v>
      </c>
      <c r="EY9" s="306">
        <v>4397.4056377455327</v>
      </c>
      <c r="EZ9" s="306">
        <v>-1218.8818515253733</v>
      </c>
      <c r="FA9" s="307">
        <v>2965.857747183155</v>
      </c>
      <c r="FB9" s="307">
        <v>4285.9680238562141</v>
      </c>
      <c r="FC9" s="307">
        <v>-1320.1102766730592</v>
      </c>
      <c r="FD9" s="306">
        <v>3373.6987959729649</v>
      </c>
      <c r="FE9" s="306">
        <v>5030.8668727225995</v>
      </c>
      <c r="FF9" s="306">
        <v>-1657.1680767496346</v>
      </c>
      <c r="FG9" s="304">
        <v>3253.9125558237429</v>
      </c>
      <c r="FH9" s="304">
        <v>5122.4169430193551</v>
      </c>
      <c r="FI9" s="304">
        <v>-1868.5043871956123</v>
      </c>
      <c r="FJ9" s="306">
        <v>3347.4124574598118</v>
      </c>
      <c r="FK9" s="306">
        <v>4886.541200656613</v>
      </c>
      <c r="FL9" s="306">
        <v>-1539.1287431968012</v>
      </c>
      <c r="FM9" s="307">
        <v>3144.7117345781812</v>
      </c>
      <c r="FN9" s="307">
        <v>4874.1489990027867</v>
      </c>
      <c r="FO9" s="307">
        <v>-1729.4372644246055</v>
      </c>
      <c r="FP9" s="306">
        <v>3722.9894414536575</v>
      </c>
      <c r="FQ9" s="306">
        <v>5624.2252432015794</v>
      </c>
      <c r="FR9" s="306">
        <v>-1901.2358017479219</v>
      </c>
      <c r="FS9" s="307">
        <v>3366.2607270512153</v>
      </c>
      <c r="FT9" s="307">
        <v>6086.0270373055919</v>
      </c>
      <c r="FU9" s="307">
        <v>-2719.7663102543765</v>
      </c>
    </row>
    <row r="10" spans="1:177" ht="14.1" hidden="1" customHeight="1" x14ac:dyDescent="0.2">
      <c r="A10" s="284"/>
      <c r="F10" s="272" t="s">
        <v>488</v>
      </c>
      <c r="J10" s="303">
        <v>0</v>
      </c>
      <c r="K10" s="303">
        <v>0</v>
      </c>
      <c r="L10" s="303">
        <v>0</v>
      </c>
      <c r="M10" s="308">
        <v>0</v>
      </c>
      <c r="N10" s="304">
        <v>0</v>
      </c>
      <c r="O10" s="304">
        <v>0</v>
      </c>
      <c r="P10" s="303">
        <v>0</v>
      </c>
      <c r="Q10" s="303">
        <v>0</v>
      </c>
      <c r="R10" s="303">
        <v>0</v>
      </c>
      <c r="S10" s="308">
        <v>0</v>
      </c>
      <c r="T10" s="304">
        <v>0</v>
      </c>
      <c r="U10" s="304">
        <v>0</v>
      </c>
      <c r="V10" s="303"/>
      <c r="W10" s="303"/>
      <c r="X10" s="303">
        <v>0</v>
      </c>
      <c r="Y10" s="308"/>
      <c r="Z10" s="304"/>
      <c r="AA10" s="304"/>
      <c r="AB10" s="303"/>
      <c r="AC10" s="303"/>
      <c r="AD10" s="303"/>
      <c r="AE10" s="308"/>
      <c r="AF10" s="304"/>
      <c r="AG10" s="304"/>
      <c r="AH10" s="303"/>
      <c r="AI10" s="303"/>
      <c r="AJ10" s="303"/>
      <c r="AK10" s="308"/>
      <c r="AL10" s="304"/>
      <c r="AM10" s="304"/>
      <c r="AN10" s="303"/>
      <c r="AO10" s="303"/>
      <c r="AP10" s="303"/>
      <c r="AQ10" s="308"/>
      <c r="AR10" s="304"/>
      <c r="AS10" s="304"/>
      <c r="AT10" s="303"/>
      <c r="AU10" s="303"/>
      <c r="AV10" s="303"/>
      <c r="AW10" s="308"/>
      <c r="AX10" s="304"/>
      <c r="AY10" s="304"/>
      <c r="AZ10" s="303"/>
      <c r="BA10" s="303"/>
      <c r="BB10" s="303"/>
      <c r="BC10" s="308"/>
      <c r="BD10" s="304"/>
      <c r="BE10" s="304"/>
      <c r="BF10" s="303"/>
      <c r="BG10" s="303"/>
      <c r="BH10" s="303"/>
      <c r="BI10" s="308"/>
      <c r="BJ10" s="304"/>
      <c r="BK10" s="304"/>
      <c r="BL10" s="303"/>
      <c r="BM10" s="303"/>
      <c r="BN10" s="303"/>
      <c r="BO10" s="308"/>
      <c r="BP10" s="304"/>
      <c r="BQ10" s="304"/>
      <c r="BR10" s="305"/>
      <c r="BS10" s="305"/>
      <c r="BT10" s="305"/>
      <c r="BU10" s="308"/>
      <c r="BV10" s="304"/>
      <c r="BW10" s="304"/>
      <c r="BX10" s="303"/>
      <c r="BY10" s="303"/>
      <c r="BZ10" s="303"/>
      <c r="CA10" s="308"/>
      <c r="CB10" s="304"/>
      <c r="CC10" s="304"/>
      <c r="CD10" s="303"/>
      <c r="CE10" s="303"/>
      <c r="CF10" s="303"/>
      <c r="CG10" s="308"/>
      <c r="CH10" s="304"/>
      <c r="CI10" s="304"/>
      <c r="CJ10" s="309"/>
      <c r="CK10" s="303"/>
      <c r="CL10" s="303"/>
      <c r="CM10" s="308"/>
      <c r="CN10" s="304"/>
      <c r="CO10" s="304"/>
      <c r="CP10" s="309"/>
      <c r="CQ10" s="303"/>
      <c r="CR10" s="303"/>
      <c r="CS10" s="308"/>
      <c r="CT10" s="304"/>
      <c r="CU10" s="304"/>
      <c r="CV10" s="309"/>
      <c r="CW10" s="303"/>
      <c r="CX10" s="303"/>
      <c r="CY10" s="308"/>
      <c r="CZ10" s="304"/>
      <c r="DA10" s="304"/>
      <c r="DB10" s="309"/>
      <c r="DC10" s="303"/>
      <c r="DD10" s="303"/>
      <c r="DE10" s="308"/>
      <c r="DF10" s="304"/>
      <c r="DG10" s="304"/>
      <c r="DH10" s="309"/>
      <c r="DI10" s="303"/>
      <c r="DJ10" s="303"/>
      <c r="DK10" s="308"/>
      <c r="DL10" s="304"/>
      <c r="DM10" s="304"/>
      <c r="DN10" s="309"/>
      <c r="DO10" s="303"/>
      <c r="DP10" s="303"/>
      <c r="DQ10" s="308"/>
      <c r="DR10" s="304"/>
      <c r="DS10" s="304"/>
      <c r="DT10" s="309"/>
      <c r="DU10" s="303"/>
      <c r="DV10" s="303"/>
      <c r="DW10" s="308"/>
      <c r="DX10" s="304"/>
      <c r="DY10" s="304"/>
      <c r="DZ10" s="309"/>
      <c r="EA10" s="303"/>
      <c r="EB10" s="303"/>
      <c r="EC10" s="308"/>
      <c r="ED10" s="304"/>
      <c r="EE10" s="304"/>
      <c r="EF10" s="309"/>
      <c r="EG10" s="303"/>
      <c r="EH10" s="303"/>
      <c r="EI10" s="308"/>
      <c r="EJ10" s="304"/>
      <c r="EK10" s="304"/>
      <c r="EL10" s="309"/>
      <c r="EM10" s="303"/>
      <c r="EN10" s="303"/>
      <c r="EO10" s="308"/>
      <c r="EP10" s="304"/>
      <c r="EQ10" s="304"/>
      <c r="ER10" s="309"/>
      <c r="ES10" s="303"/>
      <c r="ET10" s="303"/>
      <c r="EU10" s="308"/>
      <c r="EV10" s="304"/>
      <c r="EW10" s="304"/>
      <c r="EX10" s="310"/>
      <c r="EY10" s="306"/>
      <c r="EZ10" s="306"/>
      <c r="FA10" s="311"/>
      <c r="FB10" s="307"/>
      <c r="FC10" s="307"/>
      <c r="FD10" s="310"/>
      <c r="FE10" s="306"/>
      <c r="FF10" s="306"/>
      <c r="FG10" s="308"/>
      <c r="FH10" s="304"/>
      <c r="FI10" s="304"/>
      <c r="FJ10" s="310"/>
      <c r="FK10" s="306"/>
      <c r="FL10" s="306"/>
      <c r="FM10" s="311"/>
      <c r="FN10" s="307"/>
      <c r="FO10" s="307"/>
      <c r="FP10" s="310"/>
      <c r="FQ10" s="306"/>
      <c r="FR10" s="306"/>
      <c r="FS10" s="311"/>
      <c r="FT10" s="307"/>
      <c r="FU10" s="307"/>
    </row>
    <row r="11" spans="1:177" ht="14.1" customHeight="1" x14ac:dyDescent="0.2">
      <c r="A11" s="284"/>
      <c r="F11" s="272" t="s">
        <v>489</v>
      </c>
      <c r="J11" s="303">
        <v>0</v>
      </c>
      <c r="K11" s="303">
        <v>63.9</v>
      </c>
      <c r="L11" s="303">
        <v>-63.9</v>
      </c>
      <c r="M11" s="304">
        <v>5.548</v>
      </c>
      <c r="N11" s="304">
        <v>72.199999999999989</v>
      </c>
      <c r="O11" s="304">
        <v>-66.651999999999987</v>
      </c>
      <c r="P11" s="303">
        <v>0.309</v>
      </c>
      <c r="Q11" s="303">
        <v>21.5</v>
      </c>
      <c r="R11" s="303">
        <v>-21.190999999999999</v>
      </c>
      <c r="S11" s="304">
        <v>8.5139999999999993</v>
      </c>
      <c r="T11" s="304">
        <v>12.8</v>
      </c>
      <c r="U11" s="304">
        <v>-4.2860000000000014</v>
      </c>
      <c r="V11" s="303">
        <v>2</v>
      </c>
      <c r="W11" s="303">
        <v>60.6</v>
      </c>
      <c r="X11" s="303">
        <v>-58.6</v>
      </c>
      <c r="Y11" s="304">
        <v>0</v>
      </c>
      <c r="Z11" s="304">
        <v>140.10000000000002</v>
      </c>
      <c r="AA11" s="304">
        <v>-140.10000000000002</v>
      </c>
      <c r="AB11" s="303"/>
      <c r="AC11" s="303"/>
      <c r="AD11" s="303"/>
      <c r="AE11" s="304">
        <v>0</v>
      </c>
      <c r="AF11" s="304">
        <v>0</v>
      </c>
      <c r="AG11" s="304">
        <v>0</v>
      </c>
      <c r="AH11" s="303">
        <v>0</v>
      </c>
      <c r="AI11" s="303">
        <v>0.7089826923251783</v>
      </c>
      <c r="AJ11" s="303">
        <v>-0.7089826923251783</v>
      </c>
      <c r="AK11" s="304">
        <v>0</v>
      </c>
      <c r="AL11" s="304">
        <v>0.43232163894976139</v>
      </c>
      <c r="AM11" s="304">
        <v>-0.43232163894976139</v>
      </c>
      <c r="AN11" s="303">
        <v>0</v>
      </c>
      <c r="AO11" s="303">
        <v>1.0189020791638614</v>
      </c>
      <c r="AP11" s="303">
        <v>-1.0189020791638614</v>
      </c>
      <c r="AQ11" s="304">
        <v>0</v>
      </c>
      <c r="AR11" s="304">
        <v>9.4733398613202393</v>
      </c>
      <c r="AS11" s="304">
        <v>-9.4733398613202393</v>
      </c>
      <c r="AT11" s="303">
        <v>0</v>
      </c>
      <c r="AU11" s="303">
        <v>27.23160575238262</v>
      </c>
      <c r="AV11" s="303">
        <v>-27.23160575238262</v>
      </c>
      <c r="AW11" s="304">
        <v>0</v>
      </c>
      <c r="AX11" s="304">
        <v>13.95997693658893</v>
      </c>
      <c r="AY11" s="304">
        <v>-13.95997693658893</v>
      </c>
      <c r="AZ11" s="303">
        <v>0</v>
      </c>
      <c r="BA11" s="303">
        <v>0.58232947920718214</v>
      </c>
      <c r="BB11" s="303">
        <v>-0.58232947920718214</v>
      </c>
      <c r="BC11" s="304">
        <v>0</v>
      </c>
      <c r="BD11" s="304">
        <v>0.58845459154715263</v>
      </c>
      <c r="BE11" s="304">
        <v>-0.58845459154715263</v>
      </c>
      <c r="BF11" s="303"/>
      <c r="BG11" s="303">
        <v>47.878870138714035</v>
      </c>
      <c r="BH11" s="303">
        <v>-47.878870138714035</v>
      </c>
      <c r="BI11" s="304"/>
      <c r="BJ11" s="304">
        <v>97.690819993071102</v>
      </c>
      <c r="BK11" s="304">
        <v>-97.690819993071102</v>
      </c>
      <c r="BL11" s="303"/>
      <c r="BM11" s="303">
        <v>98.704829027152925</v>
      </c>
      <c r="BN11" s="303">
        <v>-98.704829027152925</v>
      </c>
      <c r="BO11" s="304"/>
      <c r="BP11" s="304">
        <v>129.73910995216085</v>
      </c>
      <c r="BQ11" s="304">
        <v>-129.73910995216085</v>
      </c>
      <c r="BR11" s="305"/>
      <c r="BS11" s="305">
        <v>151.4791346242784</v>
      </c>
      <c r="BT11" s="305">
        <v>-151.4791346242784</v>
      </c>
      <c r="BU11" s="304"/>
      <c r="BV11" s="304">
        <v>123.45916200494004</v>
      </c>
      <c r="BW11" s="304">
        <v>-123.45916200494004</v>
      </c>
      <c r="BX11" s="303"/>
      <c r="BY11" s="303">
        <v>159.77918558254351</v>
      </c>
      <c r="BZ11" s="303">
        <v>-159.77918558254351</v>
      </c>
      <c r="CA11" s="304"/>
      <c r="CB11" s="304">
        <v>215.08091500268159</v>
      </c>
      <c r="CC11" s="304">
        <v>-215.08091500268159</v>
      </c>
      <c r="CD11" s="303"/>
      <c r="CE11" s="303">
        <v>345.3338011216623</v>
      </c>
      <c r="CF11" s="303">
        <v>-345.3338011216623</v>
      </c>
      <c r="CG11" s="304"/>
      <c r="CH11" s="304">
        <v>92.483962226031139</v>
      </c>
      <c r="CI11" s="304">
        <v>-92.483962226031139</v>
      </c>
      <c r="CJ11" s="303"/>
      <c r="CK11" s="303">
        <v>0.2696440889887336</v>
      </c>
      <c r="CL11" s="303">
        <v>-0.2696440889887336</v>
      </c>
      <c r="CM11" s="304"/>
      <c r="CN11" s="304">
        <v>0.61745583509644142</v>
      </c>
      <c r="CO11" s="304">
        <v>-0.61745583509644142</v>
      </c>
      <c r="CP11" s="303"/>
      <c r="CQ11" s="303">
        <v>0.84112503253288207</v>
      </c>
      <c r="CR11" s="303">
        <v>-0.84112503253288207</v>
      </c>
      <c r="CS11" s="304"/>
      <c r="CT11" s="304">
        <v>0.78595359999522629</v>
      </c>
      <c r="CU11" s="304">
        <v>-0.78595359999522629</v>
      </c>
      <c r="CV11" s="303"/>
      <c r="CW11" s="303">
        <v>0.68850992230997832</v>
      </c>
      <c r="CX11" s="303">
        <v>-0.68850992230997832</v>
      </c>
      <c r="CY11" s="304"/>
      <c r="CZ11" s="304">
        <v>0.23548085405742014</v>
      </c>
      <c r="DA11" s="304">
        <v>-0.23548085405742014</v>
      </c>
      <c r="DB11" s="303"/>
      <c r="DC11" s="303">
        <v>0.19823585458813672</v>
      </c>
      <c r="DD11" s="303">
        <v>-0.19823585458813672</v>
      </c>
      <c r="DE11" s="304"/>
      <c r="DF11" s="304">
        <v>0.23812906777285997</v>
      </c>
      <c r="DG11" s="304">
        <v>-0.23812906777285997</v>
      </c>
      <c r="DH11" s="303"/>
      <c r="DI11" s="303">
        <v>2.0415108204511818</v>
      </c>
      <c r="DJ11" s="303">
        <v>-2.0415108204511818</v>
      </c>
      <c r="DK11" s="304"/>
      <c r="DL11" s="304">
        <v>6.1401074475566997</v>
      </c>
      <c r="DM11" s="304">
        <v>-6.1401074475566997</v>
      </c>
      <c r="DN11" s="303"/>
      <c r="DO11" s="312">
        <v>0.24394935764110109</v>
      </c>
      <c r="DP11" s="312">
        <v>-0.24394935764110109</v>
      </c>
      <c r="DQ11" s="313"/>
      <c r="DR11" s="313">
        <v>0.36531811044402324</v>
      </c>
      <c r="DS11" s="313">
        <v>-0.36531811044402324</v>
      </c>
      <c r="DT11" s="312"/>
      <c r="DU11" s="312">
        <v>0.18804836871498101</v>
      </c>
      <c r="DV11" s="312">
        <v>-0.18804836871498101</v>
      </c>
      <c r="DW11" s="313"/>
      <c r="DX11" s="313">
        <v>0.37826817715817723</v>
      </c>
      <c r="DY11" s="313">
        <v>-0.37826817715817723</v>
      </c>
      <c r="DZ11" s="303"/>
      <c r="EA11" s="312">
        <v>1.2198460898787502</v>
      </c>
      <c r="EB11" s="312">
        <v>-1.2198460898787502</v>
      </c>
      <c r="EC11" s="313"/>
      <c r="ED11" s="313">
        <v>0.24525037926352239</v>
      </c>
      <c r="EE11" s="313">
        <v>-0.24525037926352239</v>
      </c>
      <c r="EF11" s="303"/>
      <c r="EG11" s="312">
        <v>0.38854492666023938</v>
      </c>
      <c r="EH11" s="312">
        <v>-0.38854492666023938</v>
      </c>
      <c r="EI11" s="313"/>
      <c r="EJ11" s="313">
        <v>0</v>
      </c>
      <c r="EK11" s="313">
        <v>0</v>
      </c>
      <c r="EL11" s="303"/>
      <c r="EM11" s="312">
        <v>2.4786307581337312</v>
      </c>
      <c r="EN11" s="312">
        <v>-2.4786307581337312</v>
      </c>
      <c r="EO11" s="313"/>
      <c r="EP11" s="313">
        <v>0.69312944327800519</v>
      </c>
      <c r="EQ11" s="313">
        <v>-0.69312944327800519</v>
      </c>
      <c r="ER11" s="303"/>
      <c r="ES11" s="312">
        <v>0.75806496887148656</v>
      </c>
      <c r="ET11" s="312">
        <v>-0.75806496887148656</v>
      </c>
      <c r="EU11" s="313"/>
      <c r="EV11" s="313">
        <v>0.58296361234710592</v>
      </c>
      <c r="EW11" s="313">
        <v>-0.58296361234710592</v>
      </c>
      <c r="EX11" s="306"/>
      <c r="EY11" s="306">
        <v>0.50163226867479904</v>
      </c>
      <c r="EZ11" s="306">
        <v>-0.50163226867479904</v>
      </c>
      <c r="FA11" s="307"/>
      <c r="FB11" s="314">
        <v>0.49487278404331281</v>
      </c>
      <c r="FC11" s="314">
        <v>-0.49487278404331281</v>
      </c>
      <c r="FD11" s="306"/>
      <c r="FE11" s="306">
        <v>3.0218512325857483</v>
      </c>
      <c r="FF11" s="306">
        <v>-3.0218512325857483</v>
      </c>
      <c r="FG11" s="313"/>
      <c r="FH11" s="313">
        <v>0.73860197716150389</v>
      </c>
      <c r="FI11" s="313">
        <v>-0.73860197716150389</v>
      </c>
      <c r="FJ11" s="306"/>
      <c r="FK11" s="306">
        <v>0.49397494015075893</v>
      </c>
      <c r="FL11" s="306">
        <v>-0.49397494015075893</v>
      </c>
      <c r="FM11" s="307"/>
      <c r="FN11" s="314">
        <v>1.0009036490436671</v>
      </c>
      <c r="FO11" s="314">
        <v>-1.0009036490436671</v>
      </c>
      <c r="FP11" s="306"/>
      <c r="FQ11" s="306">
        <v>3.0769131249154018</v>
      </c>
      <c r="FR11" s="306">
        <v>-3.0769131249154018</v>
      </c>
      <c r="FS11" s="307"/>
      <c r="FT11" s="314">
        <v>4.4254893434575342</v>
      </c>
      <c r="FU11" s="314">
        <v>-4.4254893434575342</v>
      </c>
    </row>
    <row r="12" spans="1:177" s="284" customFormat="1" ht="13.9" customHeight="1" x14ac:dyDescent="0.2">
      <c r="E12" s="284" t="s">
        <v>490</v>
      </c>
      <c r="H12" s="276"/>
      <c r="I12" s="276"/>
      <c r="J12" s="298">
        <v>933.89439641767683</v>
      </c>
      <c r="K12" s="298">
        <v>617.27210272911498</v>
      </c>
      <c r="L12" s="298">
        <v>316.62229368856185</v>
      </c>
      <c r="M12" s="299">
        <v>895.4836963971178</v>
      </c>
      <c r="N12" s="299">
        <v>616.60463452149907</v>
      </c>
      <c r="O12" s="299">
        <v>278.87906187561873</v>
      </c>
      <c r="P12" s="298">
        <v>949.69714850826404</v>
      </c>
      <c r="Q12" s="298">
        <v>632.10547350880847</v>
      </c>
      <c r="R12" s="298">
        <v>317.59167499945556</v>
      </c>
      <c r="S12" s="299">
        <v>1020.8377651322735</v>
      </c>
      <c r="T12" s="299">
        <v>672.42849028279375</v>
      </c>
      <c r="U12" s="299">
        <v>348.40927484947974</v>
      </c>
      <c r="V12" s="298">
        <v>1167.3115211370662</v>
      </c>
      <c r="W12" s="298">
        <v>853.97105115463899</v>
      </c>
      <c r="X12" s="298">
        <v>313.34046998242718</v>
      </c>
      <c r="Y12" s="299">
        <v>1087.6972102091945</v>
      </c>
      <c r="Z12" s="299">
        <v>856.43325000000004</v>
      </c>
      <c r="AA12" s="299">
        <v>231.26396020919447</v>
      </c>
      <c r="AB12" s="298">
        <v>1192.4098977194135</v>
      </c>
      <c r="AC12" s="298">
        <v>871.33016486094516</v>
      </c>
      <c r="AD12" s="298">
        <v>321.07973285846833</v>
      </c>
      <c r="AE12" s="299">
        <v>1237.662596152385</v>
      </c>
      <c r="AF12" s="299">
        <v>923.50010967198455</v>
      </c>
      <c r="AG12" s="299">
        <v>314.1624864804005</v>
      </c>
      <c r="AH12" s="298">
        <v>1450.8468979200004</v>
      </c>
      <c r="AI12" s="298">
        <v>925.81999999999994</v>
      </c>
      <c r="AJ12" s="298">
        <v>525.02689792000047</v>
      </c>
      <c r="AK12" s="299">
        <v>1311.2525358399998</v>
      </c>
      <c r="AL12" s="299">
        <v>937.87700000000007</v>
      </c>
      <c r="AM12" s="299">
        <v>373.37553583999977</v>
      </c>
      <c r="AN12" s="298">
        <v>1411.1410635344403</v>
      </c>
      <c r="AO12" s="298">
        <v>887.6800534990233</v>
      </c>
      <c r="AP12" s="298">
        <v>523.46101003541696</v>
      </c>
      <c r="AQ12" s="299">
        <v>1431.7166020000002</v>
      </c>
      <c r="AR12" s="299">
        <v>973.49</v>
      </c>
      <c r="AS12" s="299">
        <v>458.22660200000018</v>
      </c>
      <c r="AT12" s="298">
        <v>1639.43088958</v>
      </c>
      <c r="AU12" s="298">
        <v>1009.1999999999999</v>
      </c>
      <c r="AV12" s="298">
        <v>630.23088958000005</v>
      </c>
      <c r="AW12" s="299">
        <v>1455.8439383299999</v>
      </c>
      <c r="AX12" s="299">
        <v>1026.82</v>
      </c>
      <c r="AY12" s="299">
        <v>429.02393832999996</v>
      </c>
      <c r="AZ12" s="298">
        <v>1638.3598985438314</v>
      </c>
      <c r="BA12" s="298">
        <v>976.89001113769996</v>
      </c>
      <c r="BB12" s="298">
        <v>661.46988740613142</v>
      </c>
      <c r="BC12" s="299">
        <v>1663.0282788100001</v>
      </c>
      <c r="BD12" s="299">
        <v>1058.9699999999998</v>
      </c>
      <c r="BE12" s="299">
        <v>604.05827881000027</v>
      </c>
      <c r="BF12" s="298">
        <v>1928.0971535199999</v>
      </c>
      <c r="BG12" s="298">
        <v>1085.6300000000001</v>
      </c>
      <c r="BH12" s="298">
        <v>842.46715351999978</v>
      </c>
      <c r="BI12" s="299">
        <v>1565.1239256872454</v>
      </c>
      <c r="BJ12" s="299">
        <v>1093.690051653894</v>
      </c>
      <c r="BK12" s="299">
        <v>471.43387403335146</v>
      </c>
      <c r="BL12" s="298">
        <v>1815.6449183199998</v>
      </c>
      <c r="BM12" s="298">
        <v>1022.185428571429</v>
      </c>
      <c r="BN12" s="298">
        <v>793.45948974857072</v>
      </c>
      <c r="BO12" s="299">
        <v>1829.2491011371428</v>
      </c>
      <c r="BP12" s="299">
        <v>1057.3738809523813</v>
      </c>
      <c r="BQ12" s="299">
        <v>771.87522018476147</v>
      </c>
      <c r="BR12" s="300">
        <v>2078.6321761047675</v>
      </c>
      <c r="BS12" s="300">
        <v>1131.9418308974089</v>
      </c>
      <c r="BT12" s="300">
        <v>946.69034520735863</v>
      </c>
      <c r="BU12" s="299">
        <v>1680.2974036557273</v>
      </c>
      <c r="BV12" s="299">
        <v>1109.5753557578646</v>
      </c>
      <c r="BW12" s="299">
        <v>570.72204789786269</v>
      </c>
      <c r="BX12" s="298">
        <v>1965.8895869801181</v>
      </c>
      <c r="BY12" s="298">
        <v>1085.9371535972266</v>
      </c>
      <c r="BZ12" s="298">
        <v>879.95243338289151</v>
      </c>
      <c r="CA12" s="299">
        <v>1998.943275518857</v>
      </c>
      <c r="CB12" s="299">
        <v>1093.9783650793654</v>
      </c>
      <c r="CC12" s="299">
        <v>904.96491043949163</v>
      </c>
      <c r="CD12" s="298">
        <v>2359.6716649600003</v>
      </c>
      <c r="CE12" s="298">
        <v>1184.81</v>
      </c>
      <c r="CF12" s="298">
        <v>1174.8616649600003</v>
      </c>
      <c r="CG12" s="299">
        <v>1887.9373399200001</v>
      </c>
      <c r="CH12" s="299">
        <v>1168.8100000000002</v>
      </c>
      <c r="CI12" s="299">
        <v>719.12733991999994</v>
      </c>
      <c r="CJ12" s="298">
        <v>2099.7478659999997</v>
      </c>
      <c r="CK12" s="298">
        <v>1146.6499999999999</v>
      </c>
      <c r="CL12" s="298">
        <v>953.09786599999984</v>
      </c>
      <c r="CM12" s="299">
        <v>2026.8015729600002</v>
      </c>
      <c r="CN12" s="299">
        <v>1107.5899999999999</v>
      </c>
      <c r="CO12" s="299">
        <v>919.21157296000024</v>
      </c>
      <c r="CP12" s="298">
        <v>2448.8569552000004</v>
      </c>
      <c r="CQ12" s="298">
        <v>1216.2</v>
      </c>
      <c r="CR12" s="298">
        <v>1232.6569552000003</v>
      </c>
      <c r="CS12" s="299">
        <v>1462.6496524080001</v>
      </c>
      <c r="CT12" s="299">
        <v>1149.94</v>
      </c>
      <c r="CU12" s="299">
        <v>312.70965240800001</v>
      </c>
      <c r="CV12" s="298">
        <v>1722.6352394959995</v>
      </c>
      <c r="CW12" s="298">
        <v>1122.0999999999999</v>
      </c>
      <c r="CX12" s="298">
        <v>600.53523949599958</v>
      </c>
      <c r="CY12" s="299">
        <v>1840.1683728800001</v>
      </c>
      <c r="CZ12" s="299">
        <v>1136.6699999999998</v>
      </c>
      <c r="DA12" s="299">
        <v>703.49837288000026</v>
      </c>
      <c r="DB12" s="298">
        <v>1566.5692516549998</v>
      </c>
      <c r="DC12" s="298">
        <v>894.08</v>
      </c>
      <c r="DD12" s="298">
        <v>672.48925165499975</v>
      </c>
      <c r="DE12" s="299">
        <v>469.27501866965491</v>
      </c>
      <c r="DF12" s="299">
        <v>412.48001840482658</v>
      </c>
      <c r="DG12" s="299">
        <v>56.795000264828332</v>
      </c>
      <c r="DH12" s="298">
        <v>491.5</v>
      </c>
      <c r="DI12" s="298">
        <v>430.85</v>
      </c>
      <c r="DJ12" s="298">
        <v>60.649999999999977</v>
      </c>
      <c r="DK12" s="299">
        <v>508.02823326500004</v>
      </c>
      <c r="DL12" s="299">
        <v>478.54999999999995</v>
      </c>
      <c r="DM12" s="299">
        <v>29.478233265000085</v>
      </c>
      <c r="DN12" s="298">
        <v>489.44567754000002</v>
      </c>
      <c r="DO12" s="298">
        <v>200.34900000000002</v>
      </c>
      <c r="DP12" s="298">
        <v>289.09667753999997</v>
      </c>
      <c r="DQ12" s="299">
        <v>495.07096654000003</v>
      </c>
      <c r="DR12" s="299">
        <v>186.76900000000003</v>
      </c>
      <c r="DS12" s="299">
        <v>308.30196653999997</v>
      </c>
      <c r="DT12" s="298">
        <v>547.27316015999997</v>
      </c>
      <c r="DU12" s="298">
        <v>214.29899999999998</v>
      </c>
      <c r="DV12" s="298">
        <v>332.97416016</v>
      </c>
      <c r="DW12" s="299">
        <v>943.16473445999986</v>
      </c>
      <c r="DX12" s="299">
        <v>287.19900000000001</v>
      </c>
      <c r="DY12" s="299">
        <v>655.96573445999979</v>
      </c>
      <c r="DZ12" s="298">
        <v>1009.2964088101182</v>
      </c>
      <c r="EA12" s="298">
        <v>236.08202181408416</v>
      </c>
      <c r="EB12" s="298">
        <v>773.21438699603414</v>
      </c>
      <c r="EC12" s="299">
        <v>647.03257428916743</v>
      </c>
      <c r="ED12" s="299">
        <v>211.98697629539689</v>
      </c>
      <c r="EE12" s="299">
        <v>435.04559799377057</v>
      </c>
      <c r="EF12" s="298">
        <v>639.66783035079993</v>
      </c>
      <c r="EG12" s="298">
        <v>212.9365</v>
      </c>
      <c r="EH12" s="298">
        <v>426.73133035079991</v>
      </c>
      <c r="EI12" s="299">
        <v>766.32569040560008</v>
      </c>
      <c r="EJ12" s="299">
        <v>291.69465000000002</v>
      </c>
      <c r="EK12" s="299">
        <v>474.63104040560006</v>
      </c>
      <c r="EL12" s="298">
        <v>1272.6601316023241</v>
      </c>
      <c r="EM12" s="298">
        <v>556.48990907318591</v>
      </c>
      <c r="EN12" s="298">
        <v>716.17022252913819</v>
      </c>
      <c r="EO12" s="299">
        <v>1163.0900637613161</v>
      </c>
      <c r="EP12" s="299">
        <v>571.39974724353101</v>
      </c>
      <c r="EQ12" s="299">
        <v>591.69031651778505</v>
      </c>
      <c r="ER12" s="298">
        <v>1517.866298514884</v>
      </c>
      <c r="ES12" s="298">
        <v>608.95905523050794</v>
      </c>
      <c r="ET12" s="298">
        <v>908.90724328437602</v>
      </c>
      <c r="EU12" s="299">
        <v>1462.6659722355118</v>
      </c>
      <c r="EV12" s="299">
        <v>626.48105463736465</v>
      </c>
      <c r="EW12" s="299">
        <v>836.18491759814719</v>
      </c>
      <c r="EX12" s="301">
        <v>1861.2905085865002</v>
      </c>
      <c r="EY12" s="301">
        <v>706.41095228138749</v>
      </c>
      <c r="EZ12" s="301">
        <v>1154.8795563051126</v>
      </c>
      <c r="FA12" s="302">
        <v>1457.0720224089191</v>
      </c>
      <c r="FB12" s="302">
        <v>706.3268348180469</v>
      </c>
      <c r="FC12" s="302">
        <v>750.74518759087221</v>
      </c>
      <c r="FD12" s="301">
        <v>1801.7868700909999</v>
      </c>
      <c r="FE12" s="301">
        <v>906.11712297131317</v>
      </c>
      <c r="FF12" s="301">
        <v>895.66974711968669</v>
      </c>
      <c r="FG12" s="299">
        <v>1789.9114702874997</v>
      </c>
      <c r="FH12" s="299">
        <v>1156.2845345022661</v>
      </c>
      <c r="FI12" s="299">
        <v>633.62693578523363</v>
      </c>
      <c r="FJ12" s="301">
        <v>2035.1399314016171</v>
      </c>
      <c r="FK12" s="301">
        <v>815.18813914797215</v>
      </c>
      <c r="FL12" s="301">
        <v>1219.951792253645</v>
      </c>
      <c r="FM12" s="302">
        <v>1574.4053837756649</v>
      </c>
      <c r="FN12" s="302">
        <v>735.25945632547052</v>
      </c>
      <c r="FO12" s="302">
        <v>839.14592745019434</v>
      </c>
      <c r="FP12" s="301">
        <v>1678.9971536585933</v>
      </c>
      <c r="FQ12" s="301">
        <v>890.30354359798639</v>
      </c>
      <c r="FR12" s="301">
        <v>788.69361006060694</v>
      </c>
      <c r="FS12" s="302">
        <v>1777.1498814759716</v>
      </c>
      <c r="FT12" s="302">
        <v>917.78704191483314</v>
      </c>
      <c r="FU12" s="302">
        <v>859.36283956113846</v>
      </c>
    </row>
    <row r="13" spans="1:177" s="284" customFormat="1" ht="13.9" customHeight="1" x14ac:dyDescent="0.2">
      <c r="F13" s="272" t="s">
        <v>491</v>
      </c>
      <c r="H13" s="276"/>
      <c r="I13" s="276"/>
      <c r="J13" s="298"/>
      <c r="K13" s="298"/>
      <c r="L13" s="298"/>
      <c r="M13" s="299"/>
      <c r="N13" s="299"/>
      <c r="O13" s="299"/>
      <c r="P13" s="298"/>
      <c r="Q13" s="298"/>
      <c r="R13" s="298"/>
      <c r="S13" s="299"/>
      <c r="T13" s="299"/>
      <c r="U13" s="299"/>
      <c r="V13" s="298"/>
      <c r="W13" s="298"/>
      <c r="X13" s="298"/>
      <c r="Y13" s="299"/>
      <c r="Z13" s="299"/>
      <c r="AA13" s="299"/>
      <c r="AB13" s="298"/>
      <c r="AC13" s="298"/>
      <c r="AD13" s="298"/>
      <c r="AE13" s="299"/>
      <c r="AF13" s="299"/>
      <c r="AG13" s="299"/>
      <c r="AH13" s="298"/>
      <c r="AI13" s="298"/>
      <c r="AJ13" s="298"/>
      <c r="AK13" s="299"/>
      <c r="AL13" s="299"/>
      <c r="AM13" s="299"/>
      <c r="AN13" s="298"/>
      <c r="AO13" s="298"/>
      <c r="AP13" s="298"/>
      <c r="AQ13" s="299"/>
      <c r="AR13" s="299"/>
      <c r="AS13" s="299"/>
      <c r="AT13" s="298"/>
      <c r="AU13" s="298"/>
      <c r="AV13" s="298"/>
      <c r="AW13" s="299"/>
      <c r="AX13" s="299"/>
      <c r="AY13" s="299"/>
      <c r="AZ13" s="298"/>
      <c r="BA13" s="298"/>
      <c r="BB13" s="298"/>
      <c r="BC13" s="299"/>
      <c r="BD13" s="299"/>
      <c r="BE13" s="299"/>
      <c r="BF13" s="298"/>
      <c r="BG13" s="298"/>
      <c r="BH13" s="298"/>
      <c r="BI13" s="299"/>
      <c r="BJ13" s="299"/>
      <c r="BK13" s="299"/>
      <c r="BL13" s="298"/>
      <c r="BM13" s="298"/>
      <c r="BN13" s="298"/>
      <c r="BO13" s="299"/>
      <c r="BP13" s="299"/>
      <c r="BQ13" s="299"/>
      <c r="BR13" s="300"/>
      <c r="BS13" s="300"/>
      <c r="BT13" s="300"/>
      <c r="BU13" s="299"/>
      <c r="BV13" s="299"/>
      <c r="BW13" s="299"/>
      <c r="BX13" s="298"/>
      <c r="BY13" s="298"/>
      <c r="BZ13" s="298"/>
      <c r="CA13" s="299"/>
      <c r="CB13" s="299"/>
      <c r="CC13" s="299"/>
      <c r="CD13" s="298"/>
      <c r="CE13" s="298"/>
      <c r="CF13" s="298"/>
      <c r="CG13" s="299"/>
      <c r="CH13" s="299"/>
      <c r="CI13" s="299"/>
      <c r="CJ13" s="298"/>
      <c r="CK13" s="298"/>
      <c r="CL13" s="298"/>
      <c r="CM13" s="299"/>
      <c r="CN13" s="299"/>
      <c r="CO13" s="299"/>
      <c r="CP13" s="298"/>
      <c r="CQ13" s="298"/>
      <c r="CR13" s="298"/>
      <c r="CS13" s="299"/>
      <c r="CT13" s="299"/>
      <c r="CU13" s="299"/>
      <c r="CV13" s="298"/>
      <c r="CW13" s="298"/>
      <c r="CX13" s="298"/>
      <c r="CY13" s="299"/>
      <c r="CZ13" s="299"/>
      <c r="DA13" s="299"/>
      <c r="DB13" s="298"/>
      <c r="DC13" s="298"/>
      <c r="DD13" s="298"/>
      <c r="DE13" s="299"/>
      <c r="DF13" s="299"/>
      <c r="DG13" s="299"/>
      <c r="DH13" s="298"/>
      <c r="DI13" s="298"/>
      <c r="DJ13" s="298"/>
      <c r="DK13" s="299"/>
      <c r="DL13" s="299"/>
      <c r="DM13" s="299"/>
      <c r="DN13" s="298"/>
      <c r="DO13" s="298"/>
      <c r="DP13" s="298"/>
      <c r="DQ13" s="299"/>
      <c r="DR13" s="299"/>
      <c r="DS13" s="299"/>
      <c r="DT13" s="298"/>
      <c r="DU13" s="298"/>
      <c r="DV13" s="298"/>
      <c r="DW13" s="299"/>
      <c r="DX13" s="299"/>
      <c r="DY13" s="299"/>
      <c r="DZ13" s="298">
        <v>0</v>
      </c>
      <c r="EA13" s="298">
        <v>0</v>
      </c>
      <c r="EB13" s="298">
        <v>0</v>
      </c>
      <c r="EC13" s="299">
        <v>0</v>
      </c>
      <c r="ED13" s="299">
        <v>0</v>
      </c>
      <c r="EE13" s="299">
        <v>0</v>
      </c>
      <c r="EF13" s="298">
        <v>0</v>
      </c>
      <c r="EG13" s="298">
        <v>0</v>
      </c>
      <c r="EH13" s="298">
        <v>0</v>
      </c>
      <c r="EI13" s="299">
        <v>0</v>
      </c>
      <c r="EJ13" s="299">
        <v>0</v>
      </c>
      <c r="EK13" s="299">
        <v>0</v>
      </c>
      <c r="EL13" s="298">
        <v>5.4177427400000004</v>
      </c>
      <c r="EM13" s="298">
        <v>44.525849440000002</v>
      </c>
      <c r="EN13" s="298">
        <v>-39.1081067</v>
      </c>
      <c r="EO13" s="299">
        <v>3.5264892300000001</v>
      </c>
      <c r="EP13" s="299">
        <v>56.651770020000001</v>
      </c>
      <c r="EQ13" s="299">
        <v>-53.125280789999998</v>
      </c>
      <c r="ER13" s="298">
        <v>4.5446627399999997</v>
      </c>
      <c r="ES13" s="298">
        <v>48.210477320000017</v>
      </c>
      <c r="ET13" s="298">
        <v>-43.665814580000017</v>
      </c>
      <c r="EU13" s="299">
        <v>3.5572721099999995</v>
      </c>
      <c r="EV13" s="299">
        <v>44.858264760000012</v>
      </c>
      <c r="EW13" s="299">
        <v>-41.300992650000012</v>
      </c>
      <c r="EX13" s="301">
        <v>3.9144528100000002</v>
      </c>
      <c r="EY13" s="301">
        <v>54.518451419999991</v>
      </c>
      <c r="EZ13" s="301">
        <v>-50.603998609999991</v>
      </c>
      <c r="FA13" s="302">
        <v>16.007527353370524</v>
      </c>
      <c r="FB13" s="302">
        <v>65.672913038155343</v>
      </c>
      <c r="FC13" s="302">
        <v>-49.665385684784823</v>
      </c>
      <c r="FD13" s="301">
        <v>4.8578314500000008</v>
      </c>
      <c r="FE13" s="301">
        <v>55.35098575</v>
      </c>
      <c r="FF13" s="301">
        <v>-50.4931543</v>
      </c>
      <c r="FG13" s="299">
        <v>2.5643692399999996</v>
      </c>
      <c r="FH13" s="299">
        <v>37.584984509999998</v>
      </c>
      <c r="FI13" s="299">
        <v>-35.02061527</v>
      </c>
      <c r="FJ13" s="301">
        <v>1.3060146925856451</v>
      </c>
      <c r="FK13" s="301">
        <v>40.705816688201807</v>
      </c>
      <c r="FL13" s="301">
        <v>-39.399801995616158</v>
      </c>
      <c r="FM13" s="302">
        <v>2.1821253486297953</v>
      </c>
      <c r="FN13" s="302">
        <v>31.342231554373193</v>
      </c>
      <c r="FO13" s="302">
        <v>-29.160106205743396</v>
      </c>
      <c r="FP13" s="301">
        <v>9.0834468230070549</v>
      </c>
      <c r="FQ13" s="301">
        <v>33.714938485476111</v>
      </c>
      <c r="FR13" s="301">
        <v>-24.631491662469056</v>
      </c>
      <c r="FS13" s="302">
        <v>7.3840398773439064</v>
      </c>
      <c r="FT13" s="302">
        <v>9.8834524628176226</v>
      </c>
      <c r="FU13" s="302">
        <v>-2.4994125854737161</v>
      </c>
    </row>
    <row r="14" spans="1:177" s="284" customFormat="1" ht="13.9" customHeight="1" x14ac:dyDescent="0.2">
      <c r="F14" s="272" t="s">
        <v>492</v>
      </c>
      <c r="H14" s="276"/>
      <c r="I14" s="276"/>
      <c r="J14" s="298"/>
      <c r="K14" s="298"/>
      <c r="L14" s="298"/>
      <c r="M14" s="299"/>
      <c r="N14" s="299"/>
      <c r="O14" s="299"/>
      <c r="P14" s="298"/>
      <c r="Q14" s="298"/>
      <c r="R14" s="298"/>
      <c r="S14" s="299"/>
      <c r="T14" s="299"/>
      <c r="U14" s="299"/>
      <c r="V14" s="298"/>
      <c r="W14" s="298"/>
      <c r="X14" s="298"/>
      <c r="Y14" s="299"/>
      <c r="Z14" s="299"/>
      <c r="AA14" s="299"/>
      <c r="AB14" s="298"/>
      <c r="AC14" s="298"/>
      <c r="AD14" s="298"/>
      <c r="AE14" s="299"/>
      <c r="AF14" s="299"/>
      <c r="AG14" s="299"/>
      <c r="AH14" s="298"/>
      <c r="AI14" s="298"/>
      <c r="AJ14" s="298"/>
      <c r="AK14" s="299"/>
      <c r="AL14" s="299"/>
      <c r="AM14" s="299"/>
      <c r="AN14" s="298"/>
      <c r="AO14" s="298"/>
      <c r="AP14" s="298"/>
      <c r="AQ14" s="299"/>
      <c r="AR14" s="299"/>
      <c r="AS14" s="299"/>
      <c r="AT14" s="298"/>
      <c r="AU14" s="298"/>
      <c r="AV14" s="298"/>
      <c r="AW14" s="299"/>
      <c r="AX14" s="299"/>
      <c r="AY14" s="299"/>
      <c r="AZ14" s="298"/>
      <c r="BA14" s="298"/>
      <c r="BB14" s="298"/>
      <c r="BC14" s="299"/>
      <c r="BD14" s="299"/>
      <c r="BE14" s="299"/>
      <c r="BF14" s="298"/>
      <c r="BG14" s="298"/>
      <c r="BH14" s="298"/>
      <c r="BI14" s="299"/>
      <c r="BJ14" s="299"/>
      <c r="BK14" s="299"/>
      <c r="BL14" s="298"/>
      <c r="BM14" s="298"/>
      <c r="BN14" s="298"/>
      <c r="BO14" s="299"/>
      <c r="BP14" s="299"/>
      <c r="BQ14" s="299"/>
      <c r="BR14" s="300"/>
      <c r="BS14" s="300"/>
      <c r="BT14" s="300"/>
      <c r="BU14" s="299"/>
      <c r="BV14" s="299"/>
      <c r="BW14" s="299"/>
      <c r="BX14" s="298"/>
      <c r="BY14" s="298"/>
      <c r="BZ14" s="298"/>
      <c r="CA14" s="299"/>
      <c r="CB14" s="299"/>
      <c r="CC14" s="299"/>
      <c r="CD14" s="298"/>
      <c r="CE14" s="298"/>
      <c r="CF14" s="298"/>
      <c r="CG14" s="299"/>
      <c r="CH14" s="299"/>
      <c r="CI14" s="299"/>
      <c r="CJ14" s="298"/>
      <c r="CK14" s="298"/>
      <c r="CL14" s="298"/>
      <c r="CM14" s="299"/>
      <c r="CN14" s="299"/>
      <c r="CO14" s="299"/>
      <c r="CP14" s="298"/>
      <c r="CQ14" s="298"/>
      <c r="CR14" s="298"/>
      <c r="CS14" s="299"/>
      <c r="CT14" s="299"/>
      <c r="CU14" s="299"/>
      <c r="CV14" s="298"/>
      <c r="CW14" s="298"/>
      <c r="CX14" s="298"/>
      <c r="CY14" s="299"/>
      <c r="CZ14" s="299"/>
      <c r="DA14" s="299"/>
      <c r="DB14" s="298"/>
      <c r="DC14" s="298"/>
      <c r="DD14" s="298"/>
      <c r="DE14" s="299"/>
      <c r="DF14" s="299"/>
      <c r="DG14" s="299"/>
      <c r="DH14" s="298"/>
      <c r="DI14" s="298"/>
      <c r="DJ14" s="298"/>
      <c r="DK14" s="299"/>
      <c r="DL14" s="299"/>
      <c r="DM14" s="299"/>
      <c r="DN14" s="298"/>
      <c r="DO14" s="298"/>
      <c r="DP14" s="298"/>
      <c r="DQ14" s="299"/>
      <c r="DR14" s="299"/>
      <c r="DS14" s="299"/>
      <c r="DT14" s="298"/>
      <c r="DU14" s="298"/>
      <c r="DV14" s="298"/>
      <c r="DW14" s="299"/>
      <c r="DX14" s="299"/>
      <c r="DY14" s="299"/>
      <c r="DZ14" s="298">
        <v>0</v>
      </c>
      <c r="EA14" s="298">
        <v>0</v>
      </c>
      <c r="EB14" s="298">
        <v>0</v>
      </c>
      <c r="EC14" s="299">
        <v>0</v>
      </c>
      <c r="ED14" s="299">
        <v>0</v>
      </c>
      <c r="EE14" s="299">
        <v>0</v>
      </c>
      <c r="EF14" s="298">
        <v>0</v>
      </c>
      <c r="EG14" s="298">
        <v>0</v>
      </c>
      <c r="EH14" s="298">
        <v>0</v>
      </c>
      <c r="EI14" s="299">
        <v>0</v>
      </c>
      <c r="EJ14" s="299">
        <v>0</v>
      </c>
      <c r="EK14" s="299">
        <v>0</v>
      </c>
      <c r="EL14" s="298">
        <v>11.084375039999999</v>
      </c>
      <c r="EM14" s="298">
        <v>1.0956775599999999</v>
      </c>
      <c r="EN14" s="298">
        <v>9.988697479999999</v>
      </c>
      <c r="EO14" s="299">
        <v>9.3452375200000013</v>
      </c>
      <c r="EP14" s="299">
        <v>1.6201905199999997</v>
      </c>
      <c r="EQ14" s="299">
        <v>7.7250470000000018</v>
      </c>
      <c r="ER14" s="298">
        <v>12.016641529999998</v>
      </c>
      <c r="ES14" s="298">
        <v>4.5325401599999999</v>
      </c>
      <c r="ET14" s="298">
        <v>7.4841013699999976</v>
      </c>
      <c r="EU14" s="299">
        <v>12.212710230000001</v>
      </c>
      <c r="EV14" s="299">
        <v>0.71169500000000008</v>
      </c>
      <c r="EW14" s="299">
        <v>11.50101523</v>
      </c>
      <c r="EX14" s="301">
        <v>15.240569729999999</v>
      </c>
      <c r="EY14" s="301">
        <v>3.0963243600000001</v>
      </c>
      <c r="EZ14" s="301">
        <v>12.144245369999998</v>
      </c>
      <c r="FA14" s="302">
        <v>13.151361473900316</v>
      </c>
      <c r="FB14" s="302">
        <v>3.8142041387160321</v>
      </c>
      <c r="FC14" s="302">
        <v>9.3371573351842834</v>
      </c>
      <c r="FD14" s="301">
        <v>21.383340879999999</v>
      </c>
      <c r="FE14" s="301">
        <v>4.3737966899999998</v>
      </c>
      <c r="FF14" s="301">
        <v>17.00954419</v>
      </c>
      <c r="FG14" s="299">
        <v>5.9018218200000003</v>
      </c>
      <c r="FH14" s="299">
        <v>7.5949858800000003</v>
      </c>
      <c r="FI14" s="299">
        <v>-1.69316406</v>
      </c>
      <c r="FJ14" s="301">
        <v>3.9689054610605288</v>
      </c>
      <c r="FK14" s="301">
        <v>21.663351292010852</v>
      </c>
      <c r="FL14" s="301">
        <v>-17.694445830950322</v>
      </c>
      <c r="FM14" s="302">
        <v>4.5661791831593117</v>
      </c>
      <c r="FN14" s="302">
        <v>12.833113609124185</v>
      </c>
      <c r="FO14" s="302">
        <v>-8.2669344259648732</v>
      </c>
      <c r="FP14" s="301">
        <v>3.2131032703874807</v>
      </c>
      <c r="FQ14" s="301">
        <v>17.29501355087676</v>
      </c>
      <c r="FR14" s="301">
        <v>-14.081910280489279</v>
      </c>
      <c r="FS14" s="302">
        <v>15.001753467661636</v>
      </c>
      <c r="FT14" s="302">
        <v>10.447593058904033</v>
      </c>
      <c r="FU14" s="302">
        <v>4.5541604087576033</v>
      </c>
    </row>
    <row r="15" spans="1:177" s="284" customFormat="1" ht="13.9" customHeight="1" x14ac:dyDescent="0.2">
      <c r="F15" s="272" t="s">
        <v>493</v>
      </c>
      <c r="H15" s="276"/>
      <c r="I15" s="276"/>
      <c r="J15" s="303">
        <v>391.24846702767695</v>
      </c>
      <c r="K15" s="303">
        <v>276.21000000000004</v>
      </c>
      <c r="L15" s="303">
        <v>115.03846702767692</v>
      </c>
      <c r="M15" s="304">
        <v>426.87784583711789</v>
      </c>
      <c r="N15" s="304">
        <v>274</v>
      </c>
      <c r="O15" s="304">
        <v>152.87784583711789</v>
      </c>
      <c r="P15" s="303">
        <v>411.14580710826408</v>
      </c>
      <c r="Q15" s="303">
        <v>293.60000000000002</v>
      </c>
      <c r="R15" s="303">
        <v>117.54580710826406</v>
      </c>
      <c r="S15" s="304">
        <v>404.60665513227354</v>
      </c>
      <c r="T15" s="304">
        <v>328.55</v>
      </c>
      <c r="U15" s="304">
        <v>76.056655132273534</v>
      </c>
      <c r="V15" s="303">
        <v>412.64550358317905</v>
      </c>
      <c r="W15" s="303">
        <v>323.01102487612343</v>
      </c>
      <c r="X15" s="303">
        <v>89.634478707055621</v>
      </c>
      <c r="Y15" s="304">
        <v>469.69231160919446</v>
      </c>
      <c r="Z15" s="304">
        <v>321.18325000000004</v>
      </c>
      <c r="AA15" s="304">
        <v>148.50906160919442</v>
      </c>
      <c r="AB15" s="303">
        <v>461.10199936903018</v>
      </c>
      <c r="AC15" s="303">
        <v>345.71006511540543</v>
      </c>
      <c r="AD15" s="303">
        <v>115.39193425362475</v>
      </c>
      <c r="AE15" s="304">
        <v>440.25083464558139</v>
      </c>
      <c r="AF15" s="304">
        <v>392.1100465560171</v>
      </c>
      <c r="AG15" s="304">
        <v>48.140788089564296</v>
      </c>
      <c r="AH15" s="303">
        <v>447.15000000000003</v>
      </c>
      <c r="AI15" s="303">
        <v>363.64</v>
      </c>
      <c r="AJ15" s="303">
        <v>83.510000000000048</v>
      </c>
      <c r="AK15" s="304">
        <v>510.64143999999999</v>
      </c>
      <c r="AL15" s="304">
        <v>364.5</v>
      </c>
      <c r="AM15" s="304">
        <v>146.14143999999999</v>
      </c>
      <c r="AN15" s="303">
        <v>489.1000299765617</v>
      </c>
      <c r="AO15" s="303">
        <v>328.27001985033291</v>
      </c>
      <c r="AP15" s="303">
        <v>160.83001012622879</v>
      </c>
      <c r="AQ15" s="304">
        <v>476.26</v>
      </c>
      <c r="AR15" s="304">
        <v>405.15</v>
      </c>
      <c r="AS15" s="304">
        <v>71.110000000000014</v>
      </c>
      <c r="AT15" s="303">
        <v>500.76</v>
      </c>
      <c r="AU15" s="303">
        <v>387.12</v>
      </c>
      <c r="AV15" s="303">
        <v>113.63999999999999</v>
      </c>
      <c r="AW15" s="304">
        <v>555.32000000000005</v>
      </c>
      <c r="AX15" s="304">
        <v>398.48</v>
      </c>
      <c r="AY15" s="304">
        <v>156.84000000000003</v>
      </c>
      <c r="AZ15" s="303">
        <v>513.41000592297007</v>
      </c>
      <c r="BA15" s="303">
        <v>357.05000396961395</v>
      </c>
      <c r="BB15" s="303">
        <v>156.36000195335612</v>
      </c>
      <c r="BC15" s="304">
        <v>535.21</v>
      </c>
      <c r="BD15" s="304">
        <v>436</v>
      </c>
      <c r="BE15" s="304">
        <v>99.210000000000036</v>
      </c>
      <c r="BF15" s="303">
        <v>561.88</v>
      </c>
      <c r="BG15" s="303">
        <v>414.47</v>
      </c>
      <c r="BH15" s="303">
        <v>147.40999999999997</v>
      </c>
      <c r="BI15" s="304">
        <v>575.91602699292116</v>
      </c>
      <c r="BJ15" s="304">
        <v>413.79002077305756</v>
      </c>
      <c r="BK15" s="304">
        <v>162.1260062198636</v>
      </c>
      <c r="BL15" s="303">
        <v>547.95000000000005</v>
      </c>
      <c r="BM15" s="303">
        <v>367.34</v>
      </c>
      <c r="BN15" s="303">
        <v>180.61000000000007</v>
      </c>
      <c r="BO15" s="304">
        <v>564.40000000000009</v>
      </c>
      <c r="BP15" s="304">
        <v>422.54566666666676</v>
      </c>
      <c r="BQ15" s="304">
        <v>141.85433333333333</v>
      </c>
      <c r="BR15" s="305">
        <v>590.00002305671649</v>
      </c>
      <c r="BS15" s="305">
        <v>439.70001757012233</v>
      </c>
      <c r="BT15" s="305">
        <v>150.30000548659416</v>
      </c>
      <c r="BU15" s="304">
        <v>583.41992006061332</v>
      </c>
      <c r="BV15" s="304">
        <v>439.6779952731016</v>
      </c>
      <c r="BW15" s="304">
        <v>143.74192478751172</v>
      </c>
      <c r="BX15" s="303">
        <v>589.05000585565745</v>
      </c>
      <c r="BY15" s="303">
        <v>394.05000384245062</v>
      </c>
      <c r="BZ15" s="303">
        <v>195.00000201320682</v>
      </c>
      <c r="CA15" s="304">
        <v>577.70000000000005</v>
      </c>
      <c r="CB15" s="304">
        <v>414.46805555555562</v>
      </c>
      <c r="CC15" s="304">
        <v>163.23194444444442</v>
      </c>
      <c r="CD15" s="303">
        <v>637.75</v>
      </c>
      <c r="CE15" s="303">
        <v>447.14</v>
      </c>
      <c r="CF15" s="303">
        <v>190.61</v>
      </c>
      <c r="CG15" s="304">
        <v>654.84999999999991</v>
      </c>
      <c r="CH15" s="304">
        <v>453.9</v>
      </c>
      <c r="CI15" s="304">
        <v>200.94999999999993</v>
      </c>
      <c r="CJ15" s="303">
        <v>634.79999999999995</v>
      </c>
      <c r="CK15" s="303">
        <v>407.1</v>
      </c>
      <c r="CL15" s="303">
        <v>227.69999999999993</v>
      </c>
      <c r="CM15" s="304">
        <v>558.89</v>
      </c>
      <c r="CN15" s="304">
        <v>428.4</v>
      </c>
      <c r="CO15" s="304">
        <v>130.49</v>
      </c>
      <c r="CP15" s="303">
        <v>671.86</v>
      </c>
      <c r="CQ15" s="303">
        <v>452.62</v>
      </c>
      <c r="CR15" s="303">
        <v>219.24</v>
      </c>
      <c r="CS15" s="304">
        <v>575.20000000000005</v>
      </c>
      <c r="CT15" s="304">
        <v>437.83</v>
      </c>
      <c r="CU15" s="304">
        <v>137.37000000000006</v>
      </c>
      <c r="CV15" s="303">
        <v>581.59999999999991</v>
      </c>
      <c r="CW15" s="303">
        <v>430.5</v>
      </c>
      <c r="CX15" s="303">
        <v>151.09999999999991</v>
      </c>
      <c r="CY15" s="304">
        <v>510.59000000000003</v>
      </c>
      <c r="CZ15" s="304">
        <v>388.63</v>
      </c>
      <c r="DA15" s="304">
        <v>121.96000000000004</v>
      </c>
      <c r="DB15" s="303">
        <v>580.9</v>
      </c>
      <c r="DC15" s="303">
        <v>443.46000000000004</v>
      </c>
      <c r="DD15" s="303">
        <v>137.43999999999994</v>
      </c>
      <c r="DE15" s="304">
        <v>177.00000729825229</v>
      </c>
      <c r="DF15" s="304">
        <v>169.00000793844987</v>
      </c>
      <c r="DG15" s="304">
        <v>7.9999993598024162</v>
      </c>
      <c r="DH15" s="303">
        <v>192</v>
      </c>
      <c r="DI15" s="303">
        <v>213</v>
      </c>
      <c r="DJ15" s="303">
        <v>-21</v>
      </c>
      <c r="DK15" s="304">
        <v>224</v>
      </c>
      <c r="DL15" s="304">
        <v>234.00000000000003</v>
      </c>
      <c r="DM15" s="304">
        <v>-10.000000000000028</v>
      </c>
      <c r="DN15" s="303">
        <v>131</v>
      </c>
      <c r="DO15" s="303">
        <v>54</v>
      </c>
      <c r="DP15" s="303">
        <v>77</v>
      </c>
      <c r="DQ15" s="304">
        <v>138.25</v>
      </c>
      <c r="DR15" s="304">
        <v>57</v>
      </c>
      <c r="DS15" s="304">
        <v>81.25</v>
      </c>
      <c r="DT15" s="303">
        <v>157</v>
      </c>
      <c r="DU15" s="303">
        <v>70</v>
      </c>
      <c r="DV15" s="303">
        <v>87</v>
      </c>
      <c r="DW15" s="304">
        <v>182</v>
      </c>
      <c r="DX15" s="304">
        <v>75</v>
      </c>
      <c r="DY15" s="304">
        <v>107</v>
      </c>
      <c r="DZ15" s="303">
        <v>191.79201819364906</v>
      </c>
      <c r="EA15" s="303">
        <v>90.309008156657569</v>
      </c>
      <c r="EB15" s="303">
        <v>101.48301003699149</v>
      </c>
      <c r="EC15" s="304">
        <v>132.94115811611567</v>
      </c>
      <c r="ED15" s="304">
        <v>78.197994676075979</v>
      </c>
      <c r="EE15" s="304">
        <v>54.743163440039694</v>
      </c>
      <c r="EF15" s="303">
        <v>137.60000000000002</v>
      </c>
      <c r="EG15" s="303">
        <v>61.44</v>
      </c>
      <c r="EH15" s="303">
        <v>76.160000000000025</v>
      </c>
      <c r="EI15" s="304">
        <v>213.51600000000002</v>
      </c>
      <c r="EJ15" s="304">
        <v>102.744</v>
      </c>
      <c r="EK15" s="304">
        <v>110.77200000000002</v>
      </c>
      <c r="EL15" s="303">
        <v>357.11356652000001</v>
      </c>
      <c r="EM15" s="303">
        <v>211.0897866</v>
      </c>
      <c r="EN15" s="303">
        <v>146.02377992000001</v>
      </c>
      <c r="EO15" s="304">
        <v>379.9363113</v>
      </c>
      <c r="EP15" s="304">
        <v>162.80839467999999</v>
      </c>
      <c r="EQ15" s="304">
        <v>217.12791662000001</v>
      </c>
      <c r="ER15" s="303">
        <v>410.43054087000007</v>
      </c>
      <c r="ES15" s="303">
        <v>152.60904728000003</v>
      </c>
      <c r="ET15" s="303">
        <v>257.82149359000005</v>
      </c>
      <c r="EU15" s="304">
        <v>402.20784942999995</v>
      </c>
      <c r="EV15" s="304">
        <v>205.52849529000002</v>
      </c>
      <c r="EW15" s="304">
        <v>196.67935413999993</v>
      </c>
      <c r="EX15" s="306">
        <v>406.44844899000003</v>
      </c>
      <c r="EY15" s="306">
        <v>187.66804855000004</v>
      </c>
      <c r="EZ15" s="306">
        <v>218.78040043999999</v>
      </c>
      <c r="FA15" s="307">
        <v>419.78396539022708</v>
      </c>
      <c r="FB15" s="307">
        <v>198.41843855766803</v>
      </c>
      <c r="FC15" s="307">
        <v>221.36552683255906</v>
      </c>
      <c r="FD15" s="306">
        <v>488.98457227999995</v>
      </c>
      <c r="FE15" s="306">
        <v>303.17502618999998</v>
      </c>
      <c r="FF15" s="306">
        <v>185.80954608999997</v>
      </c>
      <c r="FG15" s="304">
        <v>478.66004830999998</v>
      </c>
      <c r="FH15" s="304">
        <v>327.89201078000008</v>
      </c>
      <c r="FI15" s="304">
        <v>150.7680375299999</v>
      </c>
      <c r="FJ15" s="306">
        <v>489.2305734003204</v>
      </c>
      <c r="FK15" s="306">
        <v>269.55412209841899</v>
      </c>
      <c r="FL15" s="306">
        <v>219.67645130190141</v>
      </c>
      <c r="FM15" s="307">
        <v>523.28218811860199</v>
      </c>
      <c r="FN15" s="307">
        <v>256.66100590968131</v>
      </c>
      <c r="FO15" s="307">
        <v>266.62118220892069</v>
      </c>
      <c r="FP15" s="306">
        <v>398.2014869036264</v>
      </c>
      <c r="FQ15" s="306">
        <v>234.51363122092897</v>
      </c>
      <c r="FR15" s="306">
        <v>163.68785568269743</v>
      </c>
      <c r="FS15" s="307">
        <v>472.42674509400575</v>
      </c>
      <c r="FT15" s="307">
        <v>234.85786894886181</v>
      </c>
      <c r="FU15" s="307">
        <v>237.56887614514395</v>
      </c>
    </row>
    <row r="16" spans="1:177" ht="13.9" customHeight="1" x14ac:dyDescent="0.2">
      <c r="A16" s="284"/>
      <c r="G16" s="272" t="s">
        <v>494</v>
      </c>
      <c r="J16" s="303">
        <v>202.78800000000001</v>
      </c>
      <c r="K16" s="303">
        <v>137.178</v>
      </c>
      <c r="L16" s="303">
        <v>65.610000000000014</v>
      </c>
      <c r="M16" s="304">
        <v>207.60300000000001</v>
      </c>
      <c r="N16" s="304">
        <v>124.28999999999999</v>
      </c>
      <c r="O16" s="304">
        <v>83.313000000000017</v>
      </c>
      <c r="P16" s="303">
        <v>212.31</v>
      </c>
      <c r="Q16" s="303">
        <v>155.79000000000002</v>
      </c>
      <c r="R16" s="303">
        <v>56.519999999999982</v>
      </c>
      <c r="S16" s="304">
        <v>202.68</v>
      </c>
      <c r="T16" s="304">
        <v>179.37</v>
      </c>
      <c r="U16" s="304">
        <v>23.310000000000002</v>
      </c>
      <c r="V16" s="303">
        <v>216.89101108544639</v>
      </c>
      <c r="W16" s="303">
        <v>158.23603660061883</v>
      </c>
      <c r="X16" s="303">
        <v>58.654974484827562</v>
      </c>
      <c r="Y16" s="304">
        <v>218.33100000000002</v>
      </c>
      <c r="Z16" s="304">
        <v>144.82012499999999</v>
      </c>
      <c r="AA16" s="304">
        <v>73.510875000000027</v>
      </c>
      <c r="AB16" s="303">
        <v>235.97104464807845</v>
      </c>
      <c r="AC16" s="303">
        <v>177.66903359556778</v>
      </c>
      <c r="AD16" s="303">
        <v>58.302011052510665</v>
      </c>
      <c r="AE16" s="304">
        <v>222.29102707818839</v>
      </c>
      <c r="AF16" s="304">
        <v>204.93902457403621</v>
      </c>
      <c r="AG16" s="304">
        <v>17.352002504152182</v>
      </c>
      <c r="AH16" s="303">
        <v>235.30500000000001</v>
      </c>
      <c r="AI16" s="303">
        <v>179.40600000000001</v>
      </c>
      <c r="AJ16" s="303">
        <v>55.899000000000001</v>
      </c>
      <c r="AK16" s="304">
        <v>240.51729599999999</v>
      </c>
      <c r="AL16" s="304">
        <v>166.76999999999998</v>
      </c>
      <c r="AM16" s="304">
        <v>73.747296000000006</v>
      </c>
      <c r="AN16" s="303">
        <v>250.56001539771682</v>
      </c>
      <c r="AO16" s="303">
        <v>161.10001011708957</v>
      </c>
      <c r="AP16" s="303">
        <v>89.460005280627257</v>
      </c>
      <c r="AQ16" s="304">
        <v>242.37</v>
      </c>
      <c r="AR16" s="304">
        <v>215.01</v>
      </c>
      <c r="AS16" s="304">
        <v>27.360000000000014</v>
      </c>
      <c r="AT16" s="303">
        <v>249.255</v>
      </c>
      <c r="AU16" s="303">
        <v>188.01000000000002</v>
      </c>
      <c r="AV16" s="303">
        <v>61.244999999999976</v>
      </c>
      <c r="AW16" s="304">
        <v>248.64300000000003</v>
      </c>
      <c r="AX16" s="304">
        <v>176.67900000000003</v>
      </c>
      <c r="AY16" s="304">
        <v>71.963999999999999</v>
      </c>
      <c r="AZ16" s="303">
        <v>245.80800282905125</v>
      </c>
      <c r="BA16" s="303">
        <v>170.15400187613986</v>
      </c>
      <c r="BB16" s="303">
        <v>75.654000952911389</v>
      </c>
      <c r="BC16" s="304">
        <v>252.95400000000001</v>
      </c>
      <c r="BD16" s="304">
        <v>227.322</v>
      </c>
      <c r="BE16" s="304">
        <v>25.632000000000005</v>
      </c>
      <c r="BF16" s="303">
        <v>266.85000000000002</v>
      </c>
      <c r="BG16" s="303">
        <v>191.322</v>
      </c>
      <c r="BH16" s="303">
        <v>75.52800000000002</v>
      </c>
      <c r="BI16" s="304">
        <v>260.222412533544</v>
      </c>
      <c r="BJ16" s="304">
        <v>181.07100915137772</v>
      </c>
      <c r="BK16" s="304">
        <v>79.151403382166279</v>
      </c>
      <c r="BL16" s="303">
        <v>264.01499999999999</v>
      </c>
      <c r="BM16" s="303">
        <v>175.26599999999999</v>
      </c>
      <c r="BN16" s="303">
        <v>88.748999999999995</v>
      </c>
      <c r="BO16" s="304">
        <v>268.29000000000002</v>
      </c>
      <c r="BP16" s="304">
        <v>230.94</v>
      </c>
      <c r="BQ16" s="304">
        <v>37.350000000000023</v>
      </c>
      <c r="BR16" s="305">
        <v>270.18001056281327</v>
      </c>
      <c r="BS16" s="305">
        <v>195.93000807910443</v>
      </c>
      <c r="BT16" s="305">
        <v>74.25000248370884</v>
      </c>
      <c r="BU16" s="304">
        <v>266.48996352662152</v>
      </c>
      <c r="BV16" s="304">
        <v>213.35397053202067</v>
      </c>
      <c r="BW16" s="304">
        <v>53.135992994600855</v>
      </c>
      <c r="BX16" s="303">
        <v>267.03000269713334</v>
      </c>
      <c r="BY16" s="303">
        <v>189.94500180253959</v>
      </c>
      <c r="BZ16" s="303">
        <v>77.085000894593747</v>
      </c>
      <c r="CA16" s="304">
        <v>259.83</v>
      </c>
      <c r="CB16" s="304">
        <v>190.66500000000002</v>
      </c>
      <c r="CC16" s="304">
        <v>69.164999999999964</v>
      </c>
      <c r="CD16" s="303">
        <v>297.63</v>
      </c>
      <c r="CE16" s="303">
        <v>202.26600000000002</v>
      </c>
      <c r="CF16" s="303">
        <v>95.363999999999976</v>
      </c>
      <c r="CG16" s="304">
        <v>315.80999999999995</v>
      </c>
      <c r="CH16" s="304">
        <v>221.13</v>
      </c>
      <c r="CI16" s="304">
        <v>94.67999999999995</v>
      </c>
      <c r="CJ16" s="303">
        <v>294.39</v>
      </c>
      <c r="CK16" s="303">
        <v>196.92000000000002</v>
      </c>
      <c r="CL16" s="303">
        <v>97.46999999999997</v>
      </c>
      <c r="CM16" s="304">
        <v>225.80100000000002</v>
      </c>
      <c r="CN16" s="304">
        <v>198.26999999999998</v>
      </c>
      <c r="CO16" s="304">
        <v>27.531000000000034</v>
      </c>
      <c r="CP16" s="303">
        <v>312.62400000000002</v>
      </c>
      <c r="CQ16" s="303">
        <v>215.38799999999998</v>
      </c>
      <c r="CR16" s="303">
        <v>97.236000000000047</v>
      </c>
      <c r="CS16" s="304">
        <v>312.48</v>
      </c>
      <c r="CT16" s="304">
        <v>210.08699999999999</v>
      </c>
      <c r="CU16" s="304">
        <v>102.39300000000003</v>
      </c>
      <c r="CV16" s="303">
        <v>313.56</v>
      </c>
      <c r="CW16" s="303">
        <v>208.8</v>
      </c>
      <c r="CX16" s="303">
        <v>104.75999999999999</v>
      </c>
      <c r="CY16" s="304">
        <v>216.26100000000002</v>
      </c>
      <c r="CZ16" s="304">
        <v>185.96699999999998</v>
      </c>
      <c r="DA16" s="304">
        <v>30.29400000000004</v>
      </c>
      <c r="DB16" s="303">
        <v>280.70999999999998</v>
      </c>
      <c r="DC16" s="303">
        <v>211.19400000000002</v>
      </c>
      <c r="DD16" s="303">
        <v>69.515999999999963</v>
      </c>
      <c r="DE16" s="304">
        <v>118.80000483989363</v>
      </c>
      <c r="DF16" s="304">
        <v>117.00000576177814</v>
      </c>
      <c r="DG16" s="304">
        <v>1.7999990781154906</v>
      </c>
      <c r="DH16" s="303">
        <v>148.5</v>
      </c>
      <c r="DI16" s="303">
        <v>150.30000000000001</v>
      </c>
      <c r="DJ16" s="303">
        <v>-1.8000000000000114</v>
      </c>
      <c r="DK16" s="304">
        <v>153.9</v>
      </c>
      <c r="DL16" s="304">
        <v>156.60000000000002</v>
      </c>
      <c r="DM16" s="304">
        <v>-2.7000000000000171</v>
      </c>
      <c r="DN16" s="303">
        <v>99.9</v>
      </c>
      <c r="DO16" s="303">
        <v>35.1</v>
      </c>
      <c r="DP16" s="303">
        <v>64.800000000000011</v>
      </c>
      <c r="DQ16" s="304">
        <v>104.625</v>
      </c>
      <c r="DR16" s="304">
        <v>36</v>
      </c>
      <c r="DS16" s="304">
        <v>68.625</v>
      </c>
      <c r="DT16" s="303">
        <v>114.30000000000001</v>
      </c>
      <c r="DU16" s="303">
        <v>37.800000000000004</v>
      </c>
      <c r="DV16" s="303">
        <v>76.5</v>
      </c>
      <c r="DW16" s="304">
        <v>131.4</v>
      </c>
      <c r="DX16" s="304">
        <v>41.400000000000006</v>
      </c>
      <c r="DY16" s="304">
        <v>90</v>
      </c>
      <c r="DZ16" s="303">
        <v>105.11281008455471</v>
      </c>
      <c r="EA16" s="303">
        <v>36.728103189770387</v>
      </c>
      <c r="EB16" s="303">
        <v>68.38470689478433</v>
      </c>
      <c r="EC16" s="304">
        <v>98.047043689263688</v>
      </c>
      <c r="ED16" s="304">
        <v>33.928197545250164</v>
      </c>
      <c r="EE16" s="304">
        <v>64.118846144013531</v>
      </c>
      <c r="EF16" s="303">
        <v>95.490000000000009</v>
      </c>
      <c r="EG16" s="303">
        <v>30.995999999999999</v>
      </c>
      <c r="EH16" s="303">
        <v>64.494000000000014</v>
      </c>
      <c r="EI16" s="304">
        <v>111.1644</v>
      </c>
      <c r="EJ16" s="304">
        <v>35.769599999999997</v>
      </c>
      <c r="EK16" s="304">
        <v>75.394800000000004</v>
      </c>
      <c r="EL16" s="303">
        <v>162.79056936000001</v>
      </c>
      <c r="EM16" s="303">
        <v>67.614449989999983</v>
      </c>
      <c r="EN16" s="303">
        <v>95.176119370000023</v>
      </c>
      <c r="EO16" s="304">
        <v>205.15089831</v>
      </c>
      <c r="EP16" s="304">
        <v>71.807540450000005</v>
      </c>
      <c r="EQ16" s="304">
        <v>133.34335786</v>
      </c>
      <c r="ER16" s="303">
        <v>212.07099608000001</v>
      </c>
      <c r="ES16" s="303">
        <v>53.622084550000004</v>
      </c>
      <c r="ET16" s="303">
        <v>158.44891153</v>
      </c>
      <c r="EU16" s="304">
        <v>233.45882432999997</v>
      </c>
      <c r="EV16" s="304">
        <v>92.893769870000028</v>
      </c>
      <c r="EW16" s="304">
        <v>140.56505445999994</v>
      </c>
      <c r="EX16" s="306">
        <v>243.29161151000002</v>
      </c>
      <c r="EY16" s="306">
        <v>81.621302820000011</v>
      </c>
      <c r="EZ16" s="306">
        <v>161.67030869000001</v>
      </c>
      <c r="FA16" s="307">
        <v>248.15908476999999</v>
      </c>
      <c r="FB16" s="307">
        <v>75.638830569999982</v>
      </c>
      <c r="FC16" s="307">
        <v>172.52025420000001</v>
      </c>
      <c r="FD16" s="306">
        <v>330.01508593999995</v>
      </c>
      <c r="FE16" s="306">
        <v>116.72514000999999</v>
      </c>
      <c r="FF16" s="306">
        <v>213.28994592999996</v>
      </c>
      <c r="FG16" s="304">
        <v>355.86861349999998</v>
      </c>
      <c r="FH16" s="304">
        <v>167.11502110000001</v>
      </c>
      <c r="FI16" s="304">
        <v>188.75359239999997</v>
      </c>
      <c r="FJ16" s="306">
        <v>367.28665312324944</v>
      </c>
      <c r="FK16" s="306">
        <v>117.91059462563567</v>
      </c>
      <c r="FL16" s="306">
        <v>249.37605849761377</v>
      </c>
      <c r="FM16" s="307">
        <v>410.60366143398022</v>
      </c>
      <c r="FN16" s="307">
        <v>124.96060480676975</v>
      </c>
      <c r="FO16" s="307">
        <v>285.64305662721046</v>
      </c>
      <c r="FP16" s="306">
        <v>284.1541475484845</v>
      </c>
      <c r="FQ16" s="306">
        <v>91.914238112028031</v>
      </c>
      <c r="FR16" s="306">
        <v>192.23990943645646</v>
      </c>
      <c r="FS16" s="307">
        <v>331.4326935228014</v>
      </c>
      <c r="FT16" s="307">
        <v>74.075027729104846</v>
      </c>
      <c r="FU16" s="307">
        <v>257.35766579369658</v>
      </c>
    </row>
    <row r="17" spans="1:177" ht="13.9" customHeight="1" x14ac:dyDescent="0.2">
      <c r="A17" s="284"/>
      <c r="H17" s="277" t="s">
        <v>495</v>
      </c>
      <c r="J17" s="303"/>
      <c r="K17" s="303"/>
      <c r="L17" s="303"/>
      <c r="M17" s="304"/>
      <c r="N17" s="304"/>
      <c r="O17" s="304"/>
      <c r="P17" s="303"/>
      <c r="Q17" s="303"/>
      <c r="R17" s="303"/>
      <c r="S17" s="304"/>
      <c r="T17" s="304"/>
      <c r="U17" s="304"/>
      <c r="V17" s="303"/>
      <c r="W17" s="303"/>
      <c r="X17" s="303"/>
      <c r="Y17" s="304"/>
      <c r="Z17" s="304"/>
      <c r="AA17" s="304"/>
      <c r="AB17" s="303"/>
      <c r="AC17" s="303"/>
      <c r="AD17" s="303"/>
      <c r="AE17" s="304"/>
      <c r="AF17" s="304"/>
      <c r="AG17" s="304"/>
      <c r="AH17" s="303"/>
      <c r="AI17" s="303"/>
      <c r="AJ17" s="303"/>
      <c r="AK17" s="304"/>
      <c r="AL17" s="304"/>
      <c r="AM17" s="304"/>
      <c r="AN17" s="303"/>
      <c r="AO17" s="303"/>
      <c r="AP17" s="303"/>
      <c r="AQ17" s="304"/>
      <c r="AR17" s="304"/>
      <c r="AS17" s="304"/>
      <c r="AT17" s="303"/>
      <c r="AU17" s="303"/>
      <c r="AV17" s="303"/>
      <c r="AW17" s="304"/>
      <c r="AX17" s="304"/>
      <c r="AY17" s="304"/>
      <c r="AZ17" s="303"/>
      <c r="BA17" s="303"/>
      <c r="BB17" s="303"/>
      <c r="BC17" s="304"/>
      <c r="BD17" s="304"/>
      <c r="BE17" s="304"/>
      <c r="BF17" s="303"/>
      <c r="BG17" s="303"/>
      <c r="BH17" s="303"/>
      <c r="BI17" s="304"/>
      <c r="BJ17" s="304"/>
      <c r="BK17" s="304"/>
      <c r="BL17" s="303"/>
      <c r="BM17" s="303"/>
      <c r="BN17" s="303"/>
      <c r="BO17" s="304"/>
      <c r="BP17" s="304"/>
      <c r="BQ17" s="304"/>
      <c r="BR17" s="305"/>
      <c r="BS17" s="305"/>
      <c r="BT17" s="305"/>
      <c r="BU17" s="304"/>
      <c r="BV17" s="304"/>
      <c r="BW17" s="304"/>
      <c r="BX17" s="303"/>
      <c r="BY17" s="303"/>
      <c r="BZ17" s="303"/>
      <c r="CA17" s="304"/>
      <c r="CB17" s="304"/>
      <c r="CC17" s="304"/>
      <c r="CD17" s="303"/>
      <c r="CE17" s="303"/>
      <c r="CF17" s="303"/>
      <c r="CG17" s="304"/>
      <c r="CH17" s="304"/>
      <c r="CI17" s="304"/>
      <c r="CJ17" s="303"/>
      <c r="CK17" s="303"/>
      <c r="CL17" s="303"/>
      <c r="CM17" s="304"/>
      <c r="CN17" s="304"/>
      <c r="CO17" s="304"/>
      <c r="CP17" s="303"/>
      <c r="CQ17" s="303"/>
      <c r="CR17" s="303"/>
      <c r="CS17" s="304"/>
      <c r="CT17" s="304"/>
      <c r="CU17" s="304"/>
      <c r="CV17" s="303"/>
      <c r="CW17" s="303"/>
      <c r="CX17" s="303"/>
      <c r="CY17" s="304"/>
      <c r="CZ17" s="304"/>
      <c r="DA17" s="304"/>
      <c r="DB17" s="303"/>
      <c r="DC17" s="303"/>
      <c r="DD17" s="303"/>
      <c r="DE17" s="304"/>
      <c r="DF17" s="304"/>
      <c r="DG17" s="304"/>
      <c r="DH17" s="303"/>
      <c r="DI17" s="303"/>
      <c r="DJ17" s="303"/>
      <c r="DK17" s="304"/>
      <c r="DL17" s="304"/>
      <c r="DM17" s="304"/>
      <c r="DN17" s="303"/>
      <c r="DO17" s="303"/>
      <c r="DP17" s="303"/>
      <c r="DQ17" s="304"/>
      <c r="DR17" s="304"/>
      <c r="DS17" s="304"/>
      <c r="DT17" s="303"/>
      <c r="DU17" s="303"/>
      <c r="DV17" s="303"/>
      <c r="DW17" s="304"/>
      <c r="DX17" s="304"/>
      <c r="DY17" s="304"/>
      <c r="DZ17" s="303">
        <v>0</v>
      </c>
      <c r="EA17" s="303">
        <v>0</v>
      </c>
      <c r="EB17" s="303">
        <v>0</v>
      </c>
      <c r="EC17" s="304">
        <v>0</v>
      </c>
      <c r="ED17" s="304">
        <v>0</v>
      </c>
      <c r="EE17" s="304">
        <v>0</v>
      </c>
      <c r="EF17" s="303">
        <v>0</v>
      </c>
      <c r="EG17" s="303">
        <v>0</v>
      </c>
      <c r="EH17" s="303">
        <v>0</v>
      </c>
      <c r="EI17" s="304">
        <v>0</v>
      </c>
      <c r="EJ17" s="304">
        <v>0</v>
      </c>
      <c r="EK17" s="304">
        <v>0</v>
      </c>
      <c r="EL17" s="303">
        <v>3.9094619999999997E-2</v>
      </c>
      <c r="EM17" s="303">
        <v>0.61242920000000012</v>
      </c>
      <c r="EN17" s="303">
        <v>-0.57333458000000015</v>
      </c>
      <c r="EO17" s="304">
        <v>2.086199E-2</v>
      </c>
      <c r="EP17" s="304">
        <v>0.32578393999999999</v>
      </c>
      <c r="EQ17" s="304">
        <v>-0.30492195</v>
      </c>
      <c r="ER17" s="303">
        <v>6.4742779999999986E-2</v>
      </c>
      <c r="ES17" s="303">
        <v>1.5151917100000001</v>
      </c>
      <c r="ET17" s="303">
        <v>-1.4504489300000001</v>
      </c>
      <c r="EU17" s="304">
        <v>9.8537899999999994E-3</v>
      </c>
      <c r="EV17" s="304">
        <v>0.6153286</v>
      </c>
      <c r="EW17" s="304">
        <v>-0.60547481000000003</v>
      </c>
      <c r="EX17" s="306">
        <v>0.71613193999999991</v>
      </c>
      <c r="EY17" s="315">
        <v>0.22805915000000004</v>
      </c>
      <c r="EZ17" s="315">
        <v>0.48807278999999987</v>
      </c>
      <c r="FA17" s="314">
        <v>0.30750521999999997</v>
      </c>
      <c r="FB17" s="314">
        <v>0.18508535000000001</v>
      </c>
      <c r="FC17" s="314">
        <v>0.12241986999999996</v>
      </c>
      <c r="FD17" s="315">
        <v>0.15510899</v>
      </c>
      <c r="FE17" s="315">
        <v>0.49173623</v>
      </c>
      <c r="FF17" s="315">
        <v>-0.33662723999999999</v>
      </c>
      <c r="FG17" s="304">
        <v>0.23555227000000004</v>
      </c>
      <c r="FH17" s="304">
        <v>0.29814066000000006</v>
      </c>
      <c r="FI17" s="304">
        <v>-6.2588390000000022E-2</v>
      </c>
      <c r="FJ17" s="306">
        <v>3.2073096198251406E-3</v>
      </c>
      <c r="FK17" s="315">
        <v>1.3507648434332734E-2</v>
      </c>
      <c r="FL17" s="315">
        <v>-1.0300338814507592E-2</v>
      </c>
      <c r="FM17" s="314">
        <v>0.14320911941907616</v>
      </c>
      <c r="FN17" s="314">
        <v>5.8394153384267844E-2</v>
      </c>
      <c r="FO17" s="314">
        <v>8.4814966034808315E-2</v>
      </c>
      <c r="FP17" s="306">
        <v>0.22643527691832263</v>
      </c>
      <c r="FQ17" s="315">
        <v>4.0137426701837411E-2</v>
      </c>
      <c r="FR17" s="315">
        <v>0.18629785021648521</v>
      </c>
      <c r="FS17" s="314">
        <v>6.6124807927985502E-2</v>
      </c>
      <c r="FT17" s="314">
        <v>1.5486299539624659E-2</v>
      </c>
      <c r="FU17" s="314">
        <v>5.0638508388360842E-2</v>
      </c>
    </row>
    <row r="18" spans="1:177" ht="13.9" customHeight="1" x14ac:dyDescent="0.2">
      <c r="A18" s="284"/>
      <c r="H18" s="277" t="s">
        <v>496</v>
      </c>
      <c r="J18" s="303">
        <v>202.78800000000001</v>
      </c>
      <c r="K18" s="303">
        <v>137.178</v>
      </c>
      <c r="L18" s="303">
        <v>65.610000000000014</v>
      </c>
      <c r="M18" s="304">
        <v>207.60300000000001</v>
      </c>
      <c r="N18" s="304">
        <v>124.28999999999999</v>
      </c>
      <c r="O18" s="304">
        <v>83.313000000000017</v>
      </c>
      <c r="P18" s="303">
        <v>212.31</v>
      </c>
      <c r="Q18" s="303">
        <v>155.79000000000002</v>
      </c>
      <c r="R18" s="303">
        <v>56.519999999999982</v>
      </c>
      <c r="S18" s="304">
        <v>202.68</v>
      </c>
      <c r="T18" s="304">
        <v>179.37</v>
      </c>
      <c r="U18" s="304">
        <v>23.310000000000002</v>
      </c>
      <c r="V18" s="303">
        <v>216.89101108544639</v>
      </c>
      <c r="W18" s="303">
        <v>158.23603660061883</v>
      </c>
      <c r="X18" s="303">
        <v>58.654974484827562</v>
      </c>
      <c r="Y18" s="304">
        <v>218.33100000000002</v>
      </c>
      <c r="Z18" s="304">
        <v>144.82012499999999</v>
      </c>
      <c r="AA18" s="304">
        <v>73.510875000000027</v>
      </c>
      <c r="AB18" s="303">
        <v>235.97104464807845</v>
      </c>
      <c r="AC18" s="303">
        <v>177.66903359556778</v>
      </c>
      <c r="AD18" s="303">
        <v>58.302011052510665</v>
      </c>
      <c r="AE18" s="304">
        <v>222.29102707818839</v>
      </c>
      <c r="AF18" s="304">
        <v>204.93902457403621</v>
      </c>
      <c r="AG18" s="304">
        <v>17.352002504152182</v>
      </c>
      <c r="AH18" s="303">
        <v>235.30500000000001</v>
      </c>
      <c r="AI18" s="303">
        <v>179.40600000000001</v>
      </c>
      <c r="AJ18" s="303">
        <v>55.899000000000001</v>
      </c>
      <c r="AK18" s="304">
        <v>240.51729599999999</v>
      </c>
      <c r="AL18" s="304">
        <v>166.76999999999998</v>
      </c>
      <c r="AM18" s="304">
        <v>73.747296000000006</v>
      </c>
      <c r="AN18" s="303">
        <v>250.56001539771682</v>
      </c>
      <c r="AO18" s="303">
        <v>161.10001011708957</v>
      </c>
      <c r="AP18" s="303">
        <v>89.460005280627257</v>
      </c>
      <c r="AQ18" s="304">
        <v>242.37</v>
      </c>
      <c r="AR18" s="304">
        <v>215.01</v>
      </c>
      <c r="AS18" s="304">
        <v>27.360000000000014</v>
      </c>
      <c r="AT18" s="303">
        <v>249.255</v>
      </c>
      <c r="AU18" s="303">
        <v>188.01000000000002</v>
      </c>
      <c r="AV18" s="303">
        <v>61.244999999999976</v>
      </c>
      <c r="AW18" s="304">
        <v>248.64300000000003</v>
      </c>
      <c r="AX18" s="304">
        <v>176.67900000000003</v>
      </c>
      <c r="AY18" s="304">
        <v>71.963999999999999</v>
      </c>
      <c r="AZ18" s="303">
        <v>245.80800282905125</v>
      </c>
      <c r="BA18" s="303">
        <v>170.15400187613986</v>
      </c>
      <c r="BB18" s="303">
        <v>75.654000952911389</v>
      </c>
      <c r="BC18" s="304">
        <v>252.95400000000001</v>
      </c>
      <c r="BD18" s="304">
        <v>227.322</v>
      </c>
      <c r="BE18" s="304">
        <v>25.632000000000005</v>
      </c>
      <c r="BF18" s="303">
        <v>266.85000000000002</v>
      </c>
      <c r="BG18" s="303">
        <v>191.322</v>
      </c>
      <c r="BH18" s="303">
        <v>75.52800000000002</v>
      </c>
      <c r="BI18" s="304">
        <v>260.222412533544</v>
      </c>
      <c r="BJ18" s="304">
        <v>181.07100915137772</v>
      </c>
      <c r="BK18" s="304">
        <v>79.151403382166279</v>
      </c>
      <c r="BL18" s="303">
        <v>264.01499999999999</v>
      </c>
      <c r="BM18" s="303">
        <v>175.26599999999999</v>
      </c>
      <c r="BN18" s="303">
        <v>88.748999999999995</v>
      </c>
      <c r="BO18" s="304">
        <v>268.29000000000002</v>
      </c>
      <c r="BP18" s="304">
        <v>230.94</v>
      </c>
      <c r="BQ18" s="304">
        <v>37.350000000000023</v>
      </c>
      <c r="BR18" s="305">
        <v>270.18001056281327</v>
      </c>
      <c r="BS18" s="305">
        <v>195.93000807910443</v>
      </c>
      <c r="BT18" s="305">
        <v>74.25000248370884</v>
      </c>
      <c r="BU18" s="304">
        <v>266.48996352662152</v>
      </c>
      <c r="BV18" s="304">
        <v>213.35397053202067</v>
      </c>
      <c r="BW18" s="304">
        <v>53.135992994600855</v>
      </c>
      <c r="BX18" s="303">
        <v>267.03000269713334</v>
      </c>
      <c r="BY18" s="303">
        <v>189.94500180253959</v>
      </c>
      <c r="BZ18" s="303">
        <v>77.085000894593747</v>
      </c>
      <c r="CA18" s="304">
        <v>259.83</v>
      </c>
      <c r="CB18" s="304">
        <v>190.66500000000002</v>
      </c>
      <c r="CC18" s="304">
        <v>69.164999999999964</v>
      </c>
      <c r="CD18" s="303">
        <v>297.63</v>
      </c>
      <c r="CE18" s="303">
        <v>202.26600000000002</v>
      </c>
      <c r="CF18" s="303">
        <v>95.363999999999976</v>
      </c>
      <c r="CG18" s="304">
        <v>315.80999999999995</v>
      </c>
      <c r="CH18" s="304">
        <v>221.13</v>
      </c>
      <c r="CI18" s="304">
        <v>94.67999999999995</v>
      </c>
      <c r="CJ18" s="303">
        <v>294.39</v>
      </c>
      <c r="CK18" s="303">
        <v>196.92000000000002</v>
      </c>
      <c r="CL18" s="303">
        <v>97.46999999999997</v>
      </c>
      <c r="CM18" s="304">
        <v>225.80100000000002</v>
      </c>
      <c r="CN18" s="304">
        <v>198.26999999999998</v>
      </c>
      <c r="CO18" s="304">
        <v>27.531000000000034</v>
      </c>
      <c r="CP18" s="303">
        <v>312.62400000000002</v>
      </c>
      <c r="CQ18" s="303">
        <v>215.38799999999998</v>
      </c>
      <c r="CR18" s="303">
        <v>97.236000000000047</v>
      </c>
      <c r="CS18" s="304">
        <v>312.48</v>
      </c>
      <c r="CT18" s="304">
        <v>210.08699999999999</v>
      </c>
      <c r="CU18" s="304">
        <v>102.39300000000003</v>
      </c>
      <c r="CV18" s="303">
        <v>313.56</v>
      </c>
      <c r="CW18" s="303">
        <v>208.8</v>
      </c>
      <c r="CX18" s="303">
        <v>104.75999999999999</v>
      </c>
      <c r="CY18" s="304">
        <v>216.26100000000002</v>
      </c>
      <c r="CZ18" s="304">
        <v>185.96699999999998</v>
      </c>
      <c r="DA18" s="304">
        <v>30.29400000000004</v>
      </c>
      <c r="DB18" s="303">
        <v>280.70999999999998</v>
      </c>
      <c r="DC18" s="303">
        <v>211.19400000000002</v>
      </c>
      <c r="DD18" s="303">
        <v>69.515999999999963</v>
      </c>
      <c r="DE18" s="304">
        <v>118.80000483989363</v>
      </c>
      <c r="DF18" s="304">
        <v>117.00000576177814</v>
      </c>
      <c r="DG18" s="304">
        <v>1.7999990781154906</v>
      </c>
      <c r="DH18" s="303">
        <v>148.5</v>
      </c>
      <c r="DI18" s="303">
        <v>150.30000000000001</v>
      </c>
      <c r="DJ18" s="303">
        <v>-1.8000000000000114</v>
      </c>
      <c r="DK18" s="304">
        <v>153.9</v>
      </c>
      <c r="DL18" s="304">
        <v>156.60000000000002</v>
      </c>
      <c r="DM18" s="304">
        <v>-2.7000000000000171</v>
      </c>
      <c r="DN18" s="303">
        <v>99.9</v>
      </c>
      <c r="DO18" s="303">
        <v>35.1</v>
      </c>
      <c r="DP18" s="303">
        <v>64.800000000000011</v>
      </c>
      <c r="DQ18" s="304">
        <v>104.625</v>
      </c>
      <c r="DR18" s="304">
        <v>36</v>
      </c>
      <c r="DS18" s="304">
        <v>68.625</v>
      </c>
      <c r="DT18" s="303">
        <v>114.30000000000001</v>
      </c>
      <c r="DU18" s="303">
        <v>37.800000000000004</v>
      </c>
      <c r="DV18" s="303">
        <v>76.5</v>
      </c>
      <c r="DW18" s="304">
        <v>131.4</v>
      </c>
      <c r="DX18" s="304">
        <v>41.400000000000006</v>
      </c>
      <c r="DY18" s="304">
        <v>90</v>
      </c>
      <c r="DZ18" s="303">
        <v>105.11281008455471</v>
      </c>
      <c r="EA18" s="303">
        <v>36.728103189770387</v>
      </c>
      <c r="EB18" s="303">
        <v>68.38470689478433</v>
      </c>
      <c r="EC18" s="304">
        <v>98.047043689263688</v>
      </c>
      <c r="ED18" s="304">
        <v>33.928197545250164</v>
      </c>
      <c r="EE18" s="304">
        <v>64.118846144013531</v>
      </c>
      <c r="EF18" s="303">
        <v>95.490000000000009</v>
      </c>
      <c r="EG18" s="303">
        <v>30.995999999999999</v>
      </c>
      <c r="EH18" s="303">
        <v>64.494000000000014</v>
      </c>
      <c r="EI18" s="304">
        <v>111.1644</v>
      </c>
      <c r="EJ18" s="304">
        <v>35.769599999999997</v>
      </c>
      <c r="EK18" s="304">
        <v>75.394800000000004</v>
      </c>
      <c r="EL18" s="303">
        <v>103.10593363000001</v>
      </c>
      <c r="EM18" s="303">
        <v>58.045457459999994</v>
      </c>
      <c r="EN18" s="303">
        <v>45.060476170000015</v>
      </c>
      <c r="EO18" s="304">
        <v>82.732769399999995</v>
      </c>
      <c r="EP18" s="304">
        <v>60.123667270000013</v>
      </c>
      <c r="EQ18" s="304">
        <v>22.609102129999982</v>
      </c>
      <c r="ER18" s="303">
        <v>113.07936039000002</v>
      </c>
      <c r="ES18" s="303">
        <v>47.935998529999999</v>
      </c>
      <c r="ET18" s="303">
        <v>65.143361860000027</v>
      </c>
      <c r="EU18" s="304">
        <v>133.34577245999998</v>
      </c>
      <c r="EV18" s="304">
        <v>85.942723540000031</v>
      </c>
      <c r="EW18" s="304">
        <v>47.403048919999947</v>
      </c>
      <c r="EX18" s="306">
        <v>150.56528003</v>
      </c>
      <c r="EY18" s="306">
        <v>78.466342460000007</v>
      </c>
      <c r="EZ18" s="306">
        <v>72.09893756999999</v>
      </c>
      <c r="FA18" s="307">
        <v>143.02868782000002</v>
      </c>
      <c r="FB18" s="307">
        <v>71.51102345999999</v>
      </c>
      <c r="FC18" s="307">
        <v>71.517664360000026</v>
      </c>
      <c r="FD18" s="306">
        <v>216.84735957999999</v>
      </c>
      <c r="FE18" s="306">
        <v>106.62047007999999</v>
      </c>
      <c r="FF18" s="306">
        <v>110.2268895</v>
      </c>
      <c r="FG18" s="304">
        <v>259.74927821</v>
      </c>
      <c r="FH18" s="304">
        <v>154.12233025</v>
      </c>
      <c r="FI18" s="304">
        <v>105.62694796</v>
      </c>
      <c r="FJ18" s="306">
        <v>221.9830670534987</v>
      </c>
      <c r="FK18" s="306">
        <v>112.0756364050013</v>
      </c>
      <c r="FL18" s="306">
        <v>109.9074306484974</v>
      </c>
      <c r="FM18" s="307">
        <v>184.48097283915166</v>
      </c>
      <c r="FN18" s="307">
        <v>114.27902260782263</v>
      </c>
      <c r="FO18" s="307">
        <v>70.201950231329036</v>
      </c>
      <c r="FP18" s="306">
        <v>175.51506778350713</v>
      </c>
      <c r="FQ18" s="306">
        <v>73.491538894403206</v>
      </c>
      <c r="FR18" s="306">
        <v>102.02352888910393</v>
      </c>
      <c r="FS18" s="307">
        <v>212.96940570746096</v>
      </c>
      <c r="FT18" s="307">
        <v>66.013461020510363</v>
      </c>
      <c r="FU18" s="307">
        <v>146.9559446869506</v>
      </c>
    </row>
    <row r="19" spans="1:177" ht="13.9" customHeight="1" x14ac:dyDescent="0.2">
      <c r="A19" s="284"/>
      <c r="H19" s="272" t="s">
        <v>181</v>
      </c>
      <c r="J19" s="303"/>
      <c r="K19" s="303"/>
      <c r="L19" s="303"/>
      <c r="M19" s="304"/>
      <c r="N19" s="304"/>
      <c r="O19" s="304"/>
      <c r="P19" s="303"/>
      <c r="Q19" s="303"/>
      <c r="R19" s="303"/>
      <c r="S19" s="304"/>
      <c r="T19" s="304"/>
      <c r="U19" s="304"/>
      <c r="V19" s="303"/>
      <c r="W19" s="303"/>
      <c r="X19" s="303"/>
      <c r="Y19" s="304"/>
      <c r="Z19" s="304"/>
      <c r="AA19" s="304"/>
      <c r="AB19" s="303"/>
      <c r="AC19" s="303"/>
      <c r="AD19" s="303"/>
      <c r="AE19" s="304"/>
      <c r="AF19" s="304"/>
      <c r="AG19" s="304"/>
      <c r="AH19" s="303"/>
      <c r="AI19" s="303"/>
      <c r="AJ19" s="303"/>
      <c r="AK19" s="304"/>
      <c r="AL19" s="304"/>
      <c r="AM19" s="304"/>
      <c r="AN19" s="303"/>
      <c r="AO19" s="303"/>
      <c r="AP19" s="303"/>
      <c r="AQ19" s="304"/>
      <c r="AR19" s="304"/>
      <c r="AS19" s="304"/>
      <c r="AT19" s="303"/>
      <c r="AU19" s="303"/>
      <c r="AV19" s="303"/>
      <c r="AW19" s="304"/>
      <c r="AX19" s="304"/>
      <c r="AY19" s="304"/>
      <c r="AZ19" s="303"/>
      <c r="BA19" s="303"/>
      <c r="BB19" s="303"/>
      <c r="BC19" s="304"/>
      <c r="BD19" s="304"/>
      <c r="BE19" s="304"/>
      <c r="BF19" s="303"/>
      <c r="BG19" s="303"/>
      <c r="BH19" s="303"/>
      <c r="BI19" s="304"/>
      <c r="BJ19" s="304"/>
      <c r="BK19" s="304"/>
      <c r="BL19" s="303"/>
      <c r="BM19" s="303"/>
      <c r="BN19" s="303"/>
      <c r="BO19" s="304"/>
      <c r="BP19" s="304"/>
      <c r="BQ19" s="304"/>
      <c r="BR19" s="305"/>
      <c r="BS19" s="305"/>
      <c r="BT19" s="305"/>
      <c r="BU19" s="304"/>
      <c r="BV19" s="304"/>
      <c r="BW19" s="304"/>
      <c r="BX19" s="303"/>
      <c r="BY19" s="303"/>
      <c r="BZ19" s="303"/>
      <c r="CA19" s="304"/>
      <c r="CB19" s="304"/>
      <c r="CC19" s="304"/>
      <c r="CD19" s="303"/>
      <c r="CE19" s="303"/>
      <c r="CF19" s="303"/>
      <c r="CG19" s="304"/>
      <c r="CH19" s="304"/>
      <c r="CI19" s="304"/>
      <c r="CJ19" s="303"/>
      <c r="CK19" s="303"/>
      <c r="CL19" s="303"/>
      <c r="CM19" s="304"/>
      <c r="CN19" s="304"/>
      <c r="CO19" s="304"/>
      <c r="CP19" s="303"/>
      <c r="CQ19" s="303"/>
      <c r="CR19" s="303"/>
      <c r="CS19" s="304"/>
      <c r="CT19" s="304"/>
      <c r="CU19" s="304"/>
      <c r="CV19" s="303"/>
      <c r="CW19" s="303"/>
      <c r="CX19" s="303"/>
      <c r="CY19" s="304"/>
      <c r="CZ19" s="304"/>
      <c r="DA19" s="304"/>
      <c r="DB19" s="303"/>
      <c r="DC19" s="303"/>
      <c r="DD19" s="303"/>
      <c r="DE19" s="304"/>
      <c r="DF19" s="304"/>
      <c r="DG19" s="304"/>
      <c r="DH19" s="303"/>
      <c r="DI19" s="303"/>
      <c r="DJ19" s="303"/>
      <c r="DK19" s="304"/>
      <c r="DL19" s="304"/>
      <c r="DM19" s="304"/>
      <c r="DN19" s="303"/>
      <c r="DO19" s="303"/>
      <c r="DP19" s="303"/>
      <c r="DQ19" s="304"/>
      <c r="DR19" s="304"/>
      <c r="DS19" s="304"/>
      <c r="DT19" s="303"/>
      <c r="DU19" s="303"/>
      <c r="DV19" s="303"/>
      <c r="DW19" s="304"/>
      <c r="DX19" s="304"/>
      <c r="DY19" s="304"/>
      <c r="DZ19" s="303"/>
      <c r="EA19" s="303"/>
      <c r="EB19" s="303"/>
      <c r="EC19" s="304"/>
      <c r="ED19" s="304"/>
      <c r="EE19" s="304"/>
      <c r="EF19" s="303"/>
      <c r="EG19" s="303"/>
      <c r="EH19" s="303"/>
      <c r="EI19" s="304"/>
      <c r="EJ19" s="304"/>
      <c r="EK19" s="304"/>
      <c r="EL19" s="303">
        <v>59.645541110000011</v>
      </c>
      <c r="EM19" s="303">
        <v>8.9565633299999998</v>
      </c>
      <c r="EN19" s="303">
        <v>50.688977780000009</v>
      </c>
      <c r="EO19" s="304">
        <v>122.39726692000002</v>
      </c>
      <c r="EP19" s="304">
        <v>11.358089240000002</v>
      </c>
      <c r="EQ19" s="304">
        <v>111.03917768000002</v>
      </c>
      <c r="ER19" s="303">
        <v>98.926892909999992</v>
      </c>
      <c r="ES19" s="303">
        <v>4.1708943099999995</v>
      </c>
      <c r="ET19" s="303">
        <v>94.755998599999998</v>
      </c>
      <c r="EU19" s="304">
        <v>100.10319808</v>
      </c>
      <c r="EV19" s="304">
        <v>6.3357177299999998</v>
      </c>
      <c r="EW19" s="304">
        <v>93.76748035</v>
      </c>
      <c r="EX19" s="306">
        <v>92.010199540000031</v>
      </c>
      <c r="EY19" s="306">
        <v>2.92690121</v>
      </c>
      <c r="EZ19" s="306">
        <v>89.083298330000034</v>
      </c>
      <c r="FA19" s="307">
        <v>104.82289172999999</v>
      </c>
      <c r="FB19" s="307">
        <v>3.9427217600000004</v>
      </c>
      <c r="FC19" s="307">
        <v>100.88016997</v>
      </c>
      <c r="FD19" s="306">
        <v>113.01261736999999</v>
      </c>
      <c r="FE19" s="306">
        <v>9.612933700000001</v>
      </c>
      <c r="FF19" s="306">
        <v>103.39968366999999</v>
      </c>
      <c r="FG19" s="304">
        <v>95.883783019999981</v>
      </c>
      <c r="FH19" s="304">
        <v>12.694550190000001</v>
      </c>
      <c r="FI19" s="304">
        <v>83.18923282999998</v>
      </c>
      <c r="FJ19" s="306">
        <v>145.30037876013091</v>
      </c>
      <c r="FK19" s="306">
        <v>5.8214505722000336</v>
      </c>
      <c r="FL19" s="306">
        <v>139.47892818793088</v>
      </c>
      <c r="FM19" s="307">
        <v>225.97947947540951</v>
      </c>
      <c r="FN19" s="307">
        <v>10.623188045562848</v>
      </c>
      <c r="FO19" s="307">
        <v>215.35629142984666</v>
      </c>
      <c r="FP19" s="306">
        <v>108.41264448805902</v>
      </c>
      <c r="FQ19" s="306">
        <v>18.382561790922995</v>
      </c>
      <c r="FR19" s="306">
        <v>90.030082697136024</v>
      </c>
      <c r="FS19" s="307">
        <v>118.39716300741247</v>
      </c>
      <c r="FT19" s="307">
        <v>8.0460804090548521</v>
      </c>
      <c r="FU19" s="307">
        <v>110.35108259835762</v>
      </c>
    </row>
    <row r="20" spans="1:177" ht="13.9" customHeight="1" x14ac:dyDescent="0.2">
      <c r="A20" s="284"/>
      <c r="G20" s="272" t="s">
        <v>497</v>
      </c>
      <c r="J20" s="303">
        <v>188.46046702767694</v>
      </c>
      <c r="K20" s="303">
        <v>139.03200000000001</v>
      </c>
      <c r="L20" s="303">
        <v>49.42846702767693</v>
      </c>
      <c r="M20" s="304">
        <v>219.27484583711791</v>
      </c>
      <c r="N20" s="304">
        <v>149.71</v>
      </c>
      <c r="O20" s="304">
        <v>69.5648458371179</v>
      </c>
      <c r="P20" s="303">
        <v>198.83580710826408</v>
      </c>
      <c r="Q20" s="303">
        <v>137.81</v>
      </c>
      <c r="R20" s="303">
        <v>61.025807108264075</v>
      </c>
      <c r="S20" s="304">
        <v>201.92665513227357</v>
      </c>
      <c r="T20" s="304">
        <v>149.18</v>
      </c>
      <c r="U20" s="304">
        <v>52.74665513227356</v>
      </c>
      <c r="V20" s="303">
        <v>195.75449249773266</v>
      </c>
      <c r="W20" s="303">
        <v>164.7749882755046</v>
      </c>
      <c r="X20" s="303">
        <v>30.979504222228059</v>
      </c>
      <c r="Y20" s="304">
        <v>251.36131160919444</v>
      </c>
      <c r="Z20" s="304">
        <v>176.36312500000003</v>
      </c>
      <c r="AA20" s="304">
        <v>74.99818660919442</v>
      </c>
      <c r="AB20" s="303">
        <v>225.13095472095176</v>
      </c>
      <c r="AC20" s="303">
        <v>168.04103151983765</v>
      </c>
      <c r="AD20" s="303">
        <v>57.089923201114118</v>
      </c>
      <c r="AE20" s="304">
        <v>217.959807567393</v>
      </c>
      <c r="AF20" s="304">
        <v>187.17102198198086</v>
      </c>
      <c r="AG20" s="304">
        <v>30.788785585412143</v>
      </c>
      <c r="AH20" s="303">
        <v>211.84500000000003</v>
      </c>
      <c r="AI20" s="303">
        <v>184.23400000000001</v>
      </c>
      <c r="AJ20" s="303">
        <v>27.611000000000018</v>
      </c>
      <c r="AK20" s="304">
        <v>270.124144</v>
      </c>
      <c r="AL20" s="304">
        <v>197.73</v>
      </c>
      <c r="AM20" s="304">
        <v>72.394144000000011</v>
      </c>
      <c r="AN20" s="303">
        <v>238.54001457884485</v>
      </c>
      <c r="AO20" s="303">
        <v>167.17000973324332</v>
      </c>
      <c r="AP20" s="303">
        <v>71.370004845601528</v>
      </c>
      <c r="AQ20" s="304">
        <v>233.89</v>
      </c>
      <c r="AR20" s="304">
        <v>190.14</v>
      </c>
      <c r="AS20" s="304">
        <v>43.75</v>
      </c>
      <c r="AT20" s="303">
        <v>251.505</v>
      </c>
      <c r="AU20" s="303">
        <v>199.11</v>
      </c>
      <c r="AV20" s="303">
        <v>52.394999999999982</v>
      </c>
      <c r="AW20" s="304">
        <v>306.67700000000002</v>
      </c>
      <c r="AX20" s="304">
        <v>221.80099999999999</v>
      </c>
      <c r="AY20" s="304">
        <v>84.876000000000033</v>
      </c>
      <c r="AZ20" s="303">
        <v>267.60200309391882</v>
      </c>
      <c r="BA20" s="303">
        <v>186.89600209347412</v>
      </c>
      <c r="BB20" s="303">
        <v>80.706001000444701</v>
      </c>
      <c r="BC20" s="304">
        <v>282.25600000000003</v>
      </c>
      <c r="BD20" s="304">
        <v>208.678</v>
      </c>
      <c r="BE20" s="304">
        <v>73.578000000000031</v>
      </c>
      <c r="BF20" s="303">
        <v>295.02999999999997</v>
      </c>
      <c r="BG20" s="303">
        <v>223.14800000000002</v>
      </c>
      <c r="BH20" s="303">
        <v>71.881999999999948</v>
      </c>
      <c r="BI20" s="304">
        <v>315.69361445937722</v>
      </c>
      <c r="BJ20" s="304">
        <v>232.71901162167987</v>
      </c>
      <c r="BK20" s="304">
        <v>82.974602837697347</v>
      </c>
      <c r="BL20" s="303">
        <v>283.935</v>
      </c>
      <c r="BM20" s="303">
        <v>192.07399999999998</v>
      </c>
      <c r="BN20" s="303">
        <v>91.861000000000018</v>
      </c>
      <c r="BO20" s="304">
        <v>296.11</v>
      </c>
      <c r="BP20" s="304">
        <v>191.60566666666679</v>
      </c>
      <c r="BQ20" s="304">
        <v>104.50433333333322</v>
      </c>
      <c r="BR20" s="305">
        <v>319.82001249390322</v>
      </c>
      <c r="BS20" s="305">
        <v>243.77000949101787</v>
      </c>
      <c r="BT20" s="305">
        <v>76.050003002885347</v>
      </c>
      <c r="BU20" s="304">
        <v>316.92995653399174</v>
      </c>
      <c r="BV20" s="304">
        <v>226.3240247410809</v>
      </c>
      <c r="BW20" s="304">
        <v>90.605931792910837</v>
      </c>
      <c r="BX20" s="303">
        <v>322.02000315852405</v>
      </c>
      <c r="BY20" s="303">
        <v>204.10500203991103</v>
      </c>
      <c r="BZ20" s="303">
        <v>117.91500111861302</v>
      </c>
      <c r="CA20" s="304">
        <v>317.87</v>
      </c>
      <c r="CB20" s="304">
        <v>223.8030555555556</v>
      </c>
      <c r="CC20" s="304">
        <v>94.066944444444403</v>
      </c>
      <c r="CD20" s="303">
        <v>340.12</v>
      </c>
      <c r="CE20" s="303">
        <v>244.874</v>
      </c>
      <c r="CF20" s="303">
        <v>95.246000000000009</v>
      </c>
      <c r="CG20" s="304">
        <v>339.03999999999996</v>
      </c>
      <c r="CH20" s="304">
        <v>232.76999999999998</v>
      </c>
      <c r="CI20" s="304">
        <v>106.26999999999998</v>
      </c>
      <c r="CJ20" s="303">
        <v>340.40999999999997</v>
      </c>
      <c r="CK20" s="303">
        <v>210.18</v>
      </c>
      <c r="CL20" s="303">
        <v>130.22999999999996</v>
      </c>
      <c r="CM20" s="304">
        <v>333.089</v>
      </c>
      <c r="CN20" s="304">
        <v>230.13</v>
      </c>
      <c r="CO20" s="304">
        <v>102.959</v>
      </c>
      <c r="CP20" s="303">
        <v>359.23599999999999</v>
      </c>
      <c r="CQ20" s="303">
        <v>237.23200000000003</v>
      </c>
      <c r="CR20" s="303">
        <v>122.00399999999996</v>
      </c>
      <c r="CS20" s="304">
        <v>262.72000000000003</v>
      </c>
      <c r="CT20" s="304">
        <v>227.74299999999999</v>
      </c>
      <c r="CU20" s="304">
        <v>34.977000000000032</v>
      </c>
      <c r="CV20" s="303">
        <v>268.03999999999996</v>
      </c>
      <c r="CW20" s="303">
        <v>221.7</v>
      </c>
      <c r="CX20" s="303">
        <v>46.339999999999975</v>
      </c>
      <c r="CY20" s="304">
        <v>294.32900000000001</v>
      </c>
      <c r="CZ20" s="304">
        <v>202.66300000000001</v>
      </c>
      <c r="DA20" s="304">
        <v>91.665999999999997</v>
      </c>
      <c r="DB20" s="303">
        <v>300.19</v>
      </c>
      <c r="DC20" s="303">
        <v>232.26600000000002</v>
      </c>
      <c r="DD20" s="303">
        <v>67.923999999999978</v>
      </c>
      <c r="DE20" s="304">
        <v>58.200002458358668</v>
      </c>
      <c r="DF20" s="304">
        <v>52.000002176671735</v>
      </c>
      <c r="DG20" s="304">
        <v>6.2000002816869326</v>
      </c>
      <c r="DH20" s="303">
        <v>43.5</v>
      </c>
      <c r="DI20" s="303">
        <v>62.7</v>
      </c>
      <c r="DJ20" s="303">
        <v>-19.200000000000003</v>
      </c>
      <c r="DK20" s="304">
        <v>70.099999999999994</v>
      </c>
      <c r="DL20" s="304">
        <v>77.400000000000006</v>
      </c>
      <c r="DM20" s="304">
        <v>-7.3000000000000114</v>
      </c>
      <c r="DN20" s="303">
        <v>31.1</v>
      </c>
      <c r="DO20" s="303">
        <v>18.899999999999999</v>
      </c>
      <c r="DP20" s="303">
        <v>12.200000000000003</v>
      </c>
      <c r="DQ20" s="304">
        <v>33.625</v>
      </c>
      <c r="DR20" s="304">
        <v>21</v>
      </c>
      <c r="DS20" s="304">
        <v>12.625</v>
      </c>
      <c r="DT20" s="303">
        <v>42.7</v>
      </c>
      <c r="DU20" s="303">
        <v>32.200000000000003</v>
      </c>
      <c r="DV20" s="303">
        <v>10.5</v>
      </c>
      <c r="DW20" s="304">
        <v>50.6</v>
      </c>
      <c r="DX20" s="304">
        <v>33.6</v>
      </c>
      <c r="DY20" s="304">
        <v>17</v>
      </c>
      <c r="DZ20" s="303">
        <v>86.679208109094347</v>
      </c>
      <c r="EA20" s="303">
        <v>53.580904966887189</v>
      </c>
      <c r="EB20" s="303">
        <v>33.098303142207158</v>
      </c>
      <c r="EC20" s="304">
        <v>34.894114426851985</v>
      </c>
      <c r="ED20" s="304">
        <v>44.269797130825808</v>
      </c>
      <c r="EE20" s="304">
        <v>-9.3756827039738226</v>
      </c>
      <c r="EF20" s="303">
        <v>42.11</v>
      </c>
      <c r="EG20" s="303">
        <v>30.443999999999999</v>
      </c>
      <c r="EH20" s="303">
        <v>11.666</v>
      </c>
      <c r="EI20" s="304">
        <v>102.3516</v>
      </c>
      <c r="EJ20" s="304">
        <v>66.974400000000003</v>
      </c>
      <c r="EK20" s="304">
        <v>35.377200000000002</v>
      </c>
      <c r="EL20" s="303">
        <v>194.28495520000001</v>
      </c>
      <c r="EM20" s="303">
        <v>142.73399893000001</v>
      </c>
      <c r="EN20" s="303">
        <v>51.55095627</v>
      </c>
      <c r="EO20" s="304">
        <v>174.69595275</v>
      </c>
      <c r="EP20" s="304">
        <v>91.000854230000002</v>
      </c>
      <c r="EQ20" s="304">
        <v>83.695098520000002</v>
      </c>
      <c r="ER20" s="303">
        <v>198.28670182000002</v>
      </c>
      <c r="ES20" s="303">
        <v>95.954565910000014</v>
      </c>
      <c r="ET20" s="303">
        <v>102.33213591000001</v>
      </c>
      <c r="EU20" s="304">
        <v>168.48189387999997</v>
      </c>
      <c r="EV20" s="304">
        <v>110.17629911000002</v>
      </c>
      <c r="EW20" s="304">
        <v>58.305594769999956</v>
      </c>
      <c r="EX20" s="306">
        <v>162.88615396</v>
      </c>
      <c r="EY20" s="306">
        <v>104.25351743</v>
      </c>
      <c r="EZ20" s="306">
        <v>58.632636529999999</v>
      </c>
      <c r="FA20" s="307">
        <v>171.42435103999998</v>
      </c>
      <c r="FB20" s="307">
        <v>121.75515387999999</v>
      </c>
      <c r="FC20" s="307">
        <v>49.669197159999982</v>
      </c>
      <c r="FD20" s="306">
        <v>158.79782231000002</v>
      </c>
      <c r="FE20" s="306">
        <v>185.18463012000001</v>
      </c>
      <c r="FF20" s="306">
        <v>-26.386807809999993</v>
      </c>
      <c r="FG20" s="304">
        <v>122.61967667</v>
      </c>
      <c r="FH20" s="304">
        <v>158.51831543000003</v>
      </c>
      <c r="FI20" s="304">
        <v>-35.898638760000026</v>
      </c>
      <c r="FJ20" s="306">
        <v>121.72251425166584</v>
      </c>
      <c r="FK20" s="306">
        <v>151.34763427528813</v>
      </c>
      <c r="FL20" s="306">
        <v>-29.625120023622287</v>
      </c>
      <c r="FM20" s="307">
        <v>112.44525809686679</v>
      </c>
      <c r="FN20" s="307">
        <v>131.00350726122738</v>
      </c>
      <c r="FO20" s="307">
        <v>-18.558249164360589</v>
      </c>
      <c r="FP20" s="306">
        <v>113.89981431145986</v>
      </c>
      <c r="FQ20" s="306">
        <v>142.41166171623718</v>
      </c>
      <c r="FR20" s="306">
        <v>-28.511847404777313</v>
      </c>
      <c r="FS20" s="307">
        <v>140.8287515290304</v>
      </c>
      <c r="FT20" s="307">
        <v>160.67768133744991</v>
      </c>
      <c r="FU20" s="307">
        <v>-19.848929808419513</v>
      </c>
    </row>
    <row r="21" spans="1:177" ht="13.9" customHeight="1" x14ac:dyDescent="0.2">
      <c r="A21" s="284"/>
      <c r="H21" s="277" t="s">
        <v>495</v>
      </c>
      <c r="J21" s="303">
        <v>165.92846702767693</v>
      </c>
      <c r="K21" s="303">
        <v>123.79000000000002</v>
      </c>
      <c r="L21" s="303">
        <v>42.13846702767691</v>
      </c>
      <c r="M21" s="304">
        <v>196.2078458371179</v>
      </c>
      <c r="N21" s="304">
        <v>135.9</v>
      </c>
      <c r="O21" s="304">
        <v>60.307845837117895</v>
      </c>
      <c r="P21" s="303">
        <v>175.24580710826407</v>
      </c>
      <c r="Q21" s="303">
        <v>120.5</v>
      </c>
      <c r="R21" s="303">
        <v>54.745807108264074</v>
      </c>
      <c r="S21" s="304">
        <v>179.40665513227356</v>
      </c>
      <c r="T21" s="304">
        <v>129.25</v>
      </c>
      <c r="U21" s="304">
        <v>50.156655132273556</v>
      </c>
      <c r="V21" s="303">
        <v>171.65549126601638</v>
      </c>
      <c r="W21" s="303">
        <v>147.19320643099141</v>
      </c>
      <c r="X21" s="303">
        <v>24.462284835024974</v>
      </c>
      <c r="Y21" s="304">
        <v>227.10231160919443</v>
      </c>
      <c r="Z21" s="304">
        <v>160.27200000000002</v>
      </c>
      <c r="AA21" s="304">
        <v>66.83031160919441</v>
      </c>
      <c r="AB21" s="303">
        <v>198.91194976005417</v>
      </c>
      <c r="AC21" s="303">
        <v>148.30002778699679</v>
      </c>
      <c r="AD21" s="303">
        <v>50.611921973057377</v>
      </c>
      <c r="AE21" s="304">
        <v>193.26080455870539</v>
      </c>
      <c r="AF21" s="304">
        <v>164.4000192515324</v>
      </c>
      <c r="AG21" s="304">
        <v>28.860785307172989</v>
      </c>
      <c r="AH21" s="303">
        <v>185.70000000000002</v>
      </c>
      <c r="AI21" s="303">
        <v>164.3</v>
      </c>
      <c r="AJ21" s="303">
        <v>21.400000000000006</v>
      </c>
      <c r="AK21" s="304">
        <v>243.4</v>
      </c>
      <c r="AL21" s="304">
        <v>179.2</v>
      </c>
      <c r="AM21" s="304">
        <v>64.200000000000017</v>
      </c>
      <c r="AN21" s="303">
        <v>210.70001286798743</v>
      </c>
      <c r="AO21" s="303">
        <v>149.27000860912227</v>
      </c>
      <c r="AP21" s="303">
        <v>61.430004258865154</v>
      </c>
      <c r="AQ21" s="304">
        <v>206.95999999999998</v>
      </c>
      <c r="AR21" s="304">
        <v>166.25</v>
      </c>
      <c r="AS21" s="304">
        <v>40.70999999999998</v>
      </c>
      <c r="AT21" s="303">
        <v>223.81</v>
      </c>
      <c r="AU21" s="303">
        <v>178.22</v>
      </c>
      <c r="AV21" s="303">
        <v>45.59</v>
      </c>
      <c r="AW21" s="304">
        <v>279.05</v>
      </c>
      <c r="AX21" s="304">
        <v>202.17</v>
      </c>
      <c r="AY21" s="304">
        <v>76.880000000000024</v>
      </c>
      <c r="AZ21" s="303">
        <v>240.29000277957982</v>
      </c>
      <c r="BA21" s="303">
        <v>167.99000188501412</v>
      </c>
      <c r="BB21" s="303">
        <v>72.300000894565699</v>
      </c>
      <c r="BC21" s="304">
        <v>254.15000000000003</v>
      </c>
      <c r="BD21" s="304">
        <v>183.42</v>
      </c>
      <c r="BE21" s="304">
        <v>70.730000000000047</v>
      </c>
      <c r="BF21" s="303">
        <v>265.38</v>
      </c>
      <c r="BG21" s="303">
        <v>201.89000000000001</v>
      </c>
      <c r="BH21" s="303">
        <v>63.489999999999981</v>
      </c>
      <c r="BI21" s="304">
        <v>286.78001306676123</v>
      </c>
      <c r="BJ21" s="304">
        <v>212.60001060486013</v>
      </c>
      <c r="BK21" s="304">
        <v>74.180002461901097</v>
      </c>
      <c r="BL21" s="303">
        <v>254.6</v>
      </c>
      <c r="BM21" s="303">
        <v>172.6</v>
      </c>
      <c r="BN21" s="303">
        <v>82</v>
      </c>
      <c r="BO21" s="304">
        <v>266.3</v>
      </c>
      <c r="BP21" s="304">
        <v>165.9456666666668</v>
      </c>
      <c r="BQ21" s="304">
        <v>100.35433333333322</v>
      </c>
      <c r="BR21" s="305">
        <v>289.80001132025728</v>
      </c>
      <c r="BS21" s="305">
        <v>222.0000085933396</v>
      </c>
      <c r="BT21" s="305">
        <v>67.800002726917683</v>
      </c>
      <c r="BU21" s="304">
        <v>287.31996058658933</v>
      </c>
      <c r="BV21" s="304">
        <v>202.61802801530084</v>
      </c>
      <c r="BW21" s="304">
        <v>84.701932571288495</v>
      </c>
      <c r="BX21" s="303">
        <v>292.35000285884257</v>
      </c>
      <c r="BY21" s="303">
        <v>183.00000183962885</v>
      </c>
      <c r="BZ21" s="303">
        <v>109.35000101921372</v>
      </c>
      <c r="CA21" s="304">
        <v>289</v>
      </c>
      <c r="CB21" s="304">
        <v>202.6180555555556</v>
      </c>
      <c r="CC21" s="304">
        <v>86.3819444444444</v>
      </c>
      <c r="CD21" s="303">
        <v>307.05</v>
      </c>
      <c r="CE21" s="303">
        <v>222.4</v>
      </c>
      <c r="CF21" s="303">
        <v>84.65</v>
      </c>
      <c r="CG21" s="304">
        <v>303.95</v>
      </c>
      <c r="CH21" s="304">
        <v>208.2</v>
      </c>
      <c r="CI21" s="304">
        <v>95.75</v>
      </c>
      <c r="CJ21" s="303">
        <v>307.7</v>
      </c>
      <c r="CK21" s="303">
        <v>188.3</v>
      </c>
      <c r="CL21" s="303">
        <v>119.39999999999998</v>
      </c>
      <c r="CM21" s="304">
        <v>308</v>
      </c>
      <c r="CN21" s="304">
        <v>208.1</v>
      </c>
      <c r="CO21" s="304">
        <v>99.9</v>
      </c>
      <c r="CP21" s="303">
        <v>324.5</v>
      </c>
      <c r="CQ21" s="303">
        <v>213.3</v>
      </c>
      <c r="CR21" s="303">
        <v>111.19999999999999</v>
      </c>
      <c r="CS21" s="304">
        <v>228</v>
      </c>
      <c r="CT21" s="304">
        <v>204.4</v>
      </c>
      <c r="CU21" s="304">
        <v>23.599999999999994</v>
      </c>
      <c r="CV21" s="303">
        <v>233.2</v>
      </c>
      <c r="CW21" s="303">
        <v>198.5</v>
      </c>
      <c r="CX21" s="303">
        <v>34.699999999999989</v>
      </c>
      <c r="CY21" s="304">
        <v>270.3</v>
      </c>
      <c r="CZ21" s="304">
        <v>182</v>
      </c>
      <c r="DA21" s="304">
        <v>88.300000000000011</v>
      </c>
      <c r="DB21" s="303">
        <v>269</v>
      </c>
      <c r="DC21" s="303">
        <v>208.8</v>
      </c>
      <c r="DD21" s="303">
        <v>60.199999999999989</v>
      </c>
      <c r="DE21" s="304">
        <v>45.000001920592709</v>
      </c>
      <c r="DF21" s="304">
        <v>39.000001536474166</v>
      </c>
      <c r="DG21" s="304">
        <v>6.0000003841185432</v>
      </c>
      <c r="DH21" s="303">
        <v>27</v>
      </c>
      <c r="DI21" s="303">
        <v>46</v>
      </c>
      <c r="DJ21" s="303">
        <v>-19</v>
      </c>
      <c r="DK21" s="304">
        <v>53</v>
      </c>
      <c r="DL21" s="304">
        <v>60</v>
      </c>
      <c r="DM21" s="304">
        <v>-7</v>
      </c>
      <c r="DN21" s="303">
        <v>20</v>
      </c>
      <c r="DO21" s="303">
        <v>15</v>
      </c>
      <c r="DP21" s="303">
        <v>5</v>
      </c>
      <c r="DQ21" s="304">
        <v>22</v>
      </c>
      <c r="DR21" s="304">
        <v>17</v>
      </c>
      <c r="DS21" s="304">
        <v>5</v>
      </c>
      <c r="DT21" s="303">
        <v>30</v>
      </c>
      <c r="DU21" s="303">
        <v>28</v>
      </c>
      <c r="DV21" s="303">
        <v>2</v>
      </c>
      <c r="DW21" s="304">
        <v>36</v>
      </c>
      <c r="DX21" s="304">
        <v>29</v>
      </c>
      <c r="DY21" s="304">
        <v>7</v>
      </c>
      <c r="DZ21" s="303">
        <v>75.000006988588268</v>
      </c>
      <c r="EA21" s="303">
        <v>49.50000461246826</v>
      </c>
      <c r="EB21" s="303">
        <v>25.500002376120008</v>
      </c>
      <c r="EC21" s="304">
        <v>23.999998461378244</v>
      </c>
      <c r="ED21" s="304">
        <v>40.49999740357579</v>
      </c>
      <c r="EE21" s="304">
        <v>-16.499998942197546</v>
      </c>
      <c r="EF21" s="303">
        <v>31.5</v>
      </c>
      <c r="EG21" s="303">
        <v>27</v>
      </c>
      <c r="EH21" s="303">
        <v>4.5</v>
      </c>
      <c r="EI21" s="304">
        <v>90</v>
      </c>
      <c r="EJ21" s="304">
        <v>63</v>
      </c>
      <c r="EK21" s="304">
        <v>27</v>
      </c>
      <c r="EL21" s="303">
        <v>84.880018640000003</v>
      </c>
      <c r="EM21" s="303">
        <v>77.856916750000011</v>
      </c>
      <c r="EN21" s="303">
        <v>7.0231018899999924</v>
      </c>
      <c r="EO21" s="304">
        <v>70.273724909999999</v>
      </c>
      <c r="EP21" s="304">
        <v>52.34249243</v>
      </c>
      <c r="EQ21" s="304">
        <v>17.931232479999998</v>
      </c>
      <c r="ER21" s="303">
        <v>76.948887760000005</v>
      </c>
      <c r="ES21" s="303">
        <v>60.547293210000007</v>
      </c>
      <c r="ET21" s="303">
        <v>16.401594549999999</v>
      </c>
      <c r="EU21" s="304">
        <v>72.089623739999993</v>
      </c>
      <c r="EV21" s="304">
        <v>50.743718630000011</v>
      </c>
      <c r="EW21" s="304">
        <v>21.345905109999983</v>
      </c>
      <c r="EX21" s="306">
        <v>77.448550619999992</v>
      </c>
      <c r="EY21" s="306">
        <v>64.758766809999997</v>
      </c>
      <c r="EZ21" s="306">
        <v>12.689783809999994</v>
      </c>
      <c r="FA21" s="307">
        <v>64.076027249999981</v>
      </c>
      <c r="FB21" s="307">
        <v>68.737662720000003</v>
      </c>
      <c r="FC21" s="307">
        <v>-4.6616354700000215</v>
      </c>
      <c r="FD21" s="306">
        <v>70.970372499999996</v>
      </c>
      <c r="FE21" s="306">
        <v>79.362626579999997</v>
      </c>
      <c r="FF21" s="306">
        <v>-8.3922540800000007</v>
      </c>
      <c r="FG21" s="304">
        <v>68.565775900000006</v>
      </c>
      <c r="FH21" s="304">
        <v>65.764439359999997</v>
      </c>
      <c r="FI21" s="304">
        <v>2.8013365400000083</v>
      </c>
      <c r="FJ21" s="306">
        <v>89.308730702697389</v>
      </c>
      <c r="FK21" s="306">
        <v>54.314145518162832</v>
      </c>
      <c r="FL21" s="306">
        <v>34.994585184534557</v>
      </c>
      <c r="FM21" s="307">
        <v>77.239716353377702</v>
      </c>
      <c r="FN21" s="307">
        <v>48.89185357435322</v>
      </c>
      <c r="FO21" s="307">
        <v>28.347862779024481</v>
      </c>
      <c r="FP21" s="306">
        <v>71.546845879527623</v>
      </c>
      <c r="FQ21" s="306">
        <v>57.062725020263812</v>
      </c>
      <c r="FR21" s="306">
        <v>14.484120859263811</v>
      </c>
      <c r="FS21" s="307">
        <v>99.160848417937785</v>
      </c>
      <c r="FT21" s="307">
        <v>41.526850758194975</v>
      </c>
      <c r="FU21" s="307">
        <v>57.633997659742811</v>
      </c>
    </row>
    <row r="22" spans="1:177" ht="13.9" customHeight="1" x14ac:dyDescent="0.2">
      <c r="A22" s="284"/>
      <c r="H22" s="277" t="s">
        <v>496</v>
      </c>
      <c r="J22" s="303">
        <v>22.532000000000004</v>
      </c>
      <c r="K22" s="303">
        <v>15.242000000000001</v>
      </c>
      <c r="L22" s="303">
        <v>7.2900000000000027</v>
      </c>
      <c r="M22" s="304">
        <v>23.067</v>
      </c>
      <c r="N22" s="304">
        <v>13.809999999999999</v>
      </c>
      <c r="O22" s="304">
        <v>9.2570000000000014</v>
      </c>
      <c r="P22" s="303">
        <v>23.590000000000003</v>
      </c>
      <c r="Q22" s="303">
        <v>17.310000000000002</v>
      </c>
      <c r="R22" s="303">
        <v>6.2800000000000011</v>
      </c>
      <c r="S22" s="304">
        <v>22.520000000000003</v>
      </c>
      <c r="T22" s="304">
        <v>19.93</v>
      </c>
      <c r="U22" s="304">
        <v>2.5900000000000034</v>
      </c>
      <c r="V22" s="303">
        <v>24.099001231716269</v>
      </c>
      <c r="W22" s="303">
        <v>17.581781844513202</v>
      </c>
      <c r="X22" s="303">
        <v>6.5172193872030668</v>
      </c>
      <c r="Y22" s="304">
        <v>24.259000000000004</v>
      </c>
      <c r="Z22" s="304">
        <v>16.091124999999998</v>
      </c>
      <c r="AA22" s="304">
        <v>8.1678750000000058</v>
      </c>
      <c r="AB22" s="303">
        <v>26.219004960897607</v>
      </c>
      <c r="AC22" s="303">
        <v>19.741003732840866</v>
      </c>
      <c r="AD22" s="303">
        <v>6.4780012280567405</v>
      </c>
      <c r="AE22" s="304">
        <v>24.699003008687598</v>
      </c>
      <c r="AF22" s="304">
        <v>22.771002730448473</v>
      </c>
      <c r="AG22" s="304">
        <v>1.928000278239125</v>
      </c>
      <c r="AH22" s="303">
        <v>26.145000000000003</v>
      </c>
      <c r="AI22" s="303">
        <v>19.934000000000001</v>
      </c>
      <c r="AJ22" s="303">
        <v>6.2110000000000021</v>
      </c>
      <c r="AK22" s="304">
        <v>26.724144000000003</v>
      </c>
      <c r="AL22" s="304">
        <v>18.53</v>
      </c>
      <c r="AM22" s="304">
        <v>8.1941440000000014</v>
      </c>
      <c r="AN22" s="303">
        <v>27.840001710857422</v>
      </c>
      <c r="AO22" s="303">
        <v>17.900001124121061</v>
      </c>
      <c r="AP22" s="303">
        <v>9.9400005867363603</v>
      </c>
      <c r="AQ22" s="304">
        <v>26.93</v>
      </c>
      <c r="AR22" s="304">
        <v>23.89</v>
      </c>
      <c r="AS22" s="304">
        <v>3.0399999999999991</v>
      </c>
      <c r="AT22" s="303">
        <v>27.695000000000007</v>
      </c>
      <c r="AU22" s="303">
        <v>20.89</v>
      </c>
      <c r="AV22" s="303">
        <v>6.8050000000000068</v>
      </c>
      <c r="AW22" s="304">
        <v>27.627000000000002</v>
      </c>
      <c r="AX22" s="304">
        <v>19.631</v>
      </c>
      <c r="AY22" s="304">
        <v>7.9960000000000022</v>
      </c>
      <c r="AZ22" s="303">
        <v>27.312000314339024</v>
      </c>
      <c r="BA22" s="303">
        <v>18.906000208459986</v>
      </c>
      <c r="BB22" s="303">
        <v>8.4060001058790377</v>
      </c>
      <c r="BC22" s="304">
        <v>28.105999999999998</v>
      </c>
      <c r="BD22" s="304">
        <v>25.257999999999999</v>
      </c>
      <c r="BE22" s="304">
        <v>2.847999999999999</v>
      </c>
      <c r="BF22" s="303">
        <v>29.65</v>
      </c>
      <c r="BG22" s="303">
        <v>21.258000000000003</v>
      </c>
      <c r="BH22" s="303">
        <v>8.3919999999999959</v>
      </c>
      <c r="BI22" s="304">
        <v>28.913601392615995</v>
      </c>
      <c r="BJ22" s="304">
        <v>20.119001016819748</v>
      </c>
      <c r="BK22" s="304">
        <v>8.7946003757962465</v>
      </c>
      <c r="BL22" s="303">
        <v>29.335000000000001</v>
      </c>
      <c r="BM22" s="303">
        <v>19.473999999999997</v>
      </c>
      <c r="BN22" s="303">
        <v>9.8610000000000042</v>
      </c>
      <c r="BO22" s="304">
        <v>29.810000000000002</v>
      </c>
      <c r="BP22" s="304">
        <v>25.660000000000004</v>
      </c>
      <c r="BQ22" s="304">
        <v>4.1499999999999986</v>
      </c>
      <c r="BR22" s="305">
        <v>30.020001173645923</v>
      </c>
      <c r="BS22" s="305">
        <v>21.770000897678273</v>
      </c>
      <c r="BT22" s="305">
        <v>8.2500002759676505</v>
      </c>
      <c r="BU22" s="304">
        <v>29.609995947402389</v>
      </c>
      <c r="BV22" s="304">
        <v>23.705996725780075</v>
      </c>
      <c r="BW22" s="304">
        <v>5.9039992216223141</v>
      </c>
      <c r="BX22" s="303">
        <v>29.670000299681483</v>
      </c>
      <c r="BY22" s="303">
        <v>21.105000200282177</v>
      </c>
      <c r="BZ22" s="303">
        <v>8.5650000993993061</v>
      </c>
      <c r="CA22" s="304">
        <v>28.87</v>
      </c>
      <c r="CB22" s="304">
        <v>21.185000000000002</v>
      </c>
      <c r="CC22" s="304">
        <v>7.6849999999999987</v>
      </c>
      <c r="CD22" s="303">
        <v>33.070000000000007</v>
      </c>
      <c r="CE22" s="303">
        <v>22.474</v>
      </c>
      <c r="CF22" s="303">
        <v>10.596000000000007</v>
      </c>
      <c r="CG22" s="304">
        <v>35.090000000000003</v>
      </c>
      <c r="CH22" s="304">
        <v>24.57</v>
      </c>
      <c r="CI22" s="304">
        <v>10.520000000000003</v>
      </c>
      <c r="CJ22" s="303">
        <v>32.71</v>
      </c>
      <c r="CK22" s="303">
        <v>21.880000000000003</v>
      </c>
      <c r="CL22" s="303">
        <v>10.829999999999998</v>
      </c>
      <c r="CM22" s="304">
        <v>25.088999999999999</v>
      </c>
      <c r="CN22" s="304">
        <v>22.03</v>
      </c>
      <c r="CO22" s="304">
        <v>3.0589999999999975</v>
      </c>
      <c r="CP22" s="303">
        <v>34.736000000000004</v>
      </c>
      <c r="CQ22" s="303">
        <v>23.932000000000002</v>
      </c>
      <c r="CR22" s="303">
        <v>10.804000000000002</v>
      </c>
      <c r="CS22" s="304">
        <v>34.72</v>
      </c>
      <c r="CT22" s="304">
        <v>23.342999999999996</v>
      </c>
      <c r="CU22" s="304">
        <v>11.377000000000002</v>
      </c>
      <c r="CV22" s="303">
        <v>34.840000000000003</v>
      </c>
      <c r="CW22" s="303">
        <v>23.200000000000003</v>
      </c>
      <c r="CX22" s="303">
        <v>11.64</v>
      </c>
      <c r="CY22" s="304">
        <v>24.029000000000003</v>
      </c>
      <c r="CZ22" s="304">
        <v>20.663</v>
      </c>
      <c r="DA22" s="304">
        <v>3.3660000000000032</v>
      </c>
      <c r="DB22" s="303">
        <v>31.19</v>
      </c>
      <c r="DC22" s="303">
        <v>23.466000000000005</v>
      </c>
      <c r="DD22" s="303">
        <v>7.7239999999999966</v>
      </c>
      <c r="DE22" s="304">
        <v>13.200000537765959</v>
      </c>
      <c r="DF22" s="304">
        <v>13.00000064019757</v>
      </c>
      <c r="DG22" s="304">
        <v>0.19999989756838943</v>
      </c>
      <c r="DH22" s="303">
        <v>16.5</v>
      </c>
      <c r="DI22" s="303">
        <v>16.700000000000003</v>
      </c>
      <c r="DJ22" s="303">
        <v>-0.20000000000000284</v>
      </c>
      <c r="DK22" s="304">
        <v>17.100000000000001</v>
      </c>
      <c r="DL22" s="304">
        <v>17.399999999999999</v>
      </c>
      <c r="DM22" s="304">
        <v>-0.29999999999999716</v>
      </c>
      <c r="DN22" s="303">
        <v>11.100000000000001</v>
      </c>
      <c r="DO22" s="303">
        <v>3.9000000000000004</v>
      </c>
      <c r="DP22" s="303">
        <v>7.2000000000000011</v>
      </c>
      <c r="DQ22" s="304">
        <v>11.625</v>
      </c>
      <c r="DR22" s="304">
        <v>4</v>
      </c>
      <c r="DS22" s="304">
        <v>7.625</v>
      </c>
      <c r="DT22" s="303">
        <v>12.700000000000001</v>
      </c>
      <c r="DU22" s="303">
        <v>4.2</v>
      </c>
      <c r="DV22" s="303">
        <v>8.5</v>
      </c>
      <c r="DW22" s="304">
        <v>14.600000000000001</v>
      </c>
      <c r="DX22" s="304">
        <v>4.6000000000000005</v>
      </c>
      <c r="DY22" s="304">
        <v>10</v>
      </c>
      <c r="DZ22" s="303">
        <v>11.679201120506079</v>
      </c>
      <c r="EA22" s="303">
        <v>4.0809003544189313</v>
      </c>
      <c r="EB22" s="303">
        <v>7.5983007660871476</v>
      </c>
      <c r="EC22" s="304">
        <v>10.894115965473745</v>
      </c>
      <c r="ED22" s="304">
        <v>3.7697997272500183</v>
      </c>
      <c r="EE22" s="304">
        <v>7.1243162382237264</v>
      </c>
      <c r="EF22" s="303">
        <v>10.61</v>
      </c>
      <c r="EG22" s="303">
        <v>3.444</v>
      </c>
      <c r="EH22" s="303">
        <v>7.1659999999999995</v>
      </c>
      <c r="EI22" s="304">
        <v>12.351600000000001</v>
      </c>
      <c r="EJ22" s="304">
        <v>3.9744000000000002</v>
      </c>
      <c r="EK22" s="304">
        <v>8.377200000000002</v>
      </c>
      <c r="EL22" s="303">
        <v>21.67520704</v>
      </c>
      <c r="EM22" s="303">
        <v>27.103404840000003</v>
      </c>
      <c r="EN22" s="303">
        <v>-5.4281978000000031</v>
      </c>
      <c r="EO22" s="304">
        <v>19.499388399999997</v>
      </c>
      <c r="EP22" s="304">
        <v>17.283782840000001</v>
      </c>
      <c r="EQ22" s="304">
        <v>2.2156055599999966</v>
      </c>
      <c r="ER22" s="303">
        <v>24.015786350000006</v>
      </c>
      <c r="ES22" s="303">
        <v>12.39023972</v>
      </c>
      <c r="ET22" s="303">
        <v>11.625546630000006</v>
      </c>
      <c r="EU22" s="304">
        <v>15.7520642</v>
      </c>
      <c r="EV22" s="304">
        <v>21.333388890000002</v>
      </c>
      <c r="EW22" s="304">
        <v>-5.5813246900000024</v>
      </c>
      <c r="EX22" s="306">
        <v>12.53996184</v>
      </c>
      <c r="EY22" s="306">
        <v>12.738790969999998</v>
      </c>
      <c r="EZ22" s="315">
        <v>-0.19882912999999824</v>
      </c>
      <c r="FA22" s="307">
        <v>14.533507590000003</v>
      </c>
      <c r="FB22" s="307">
        <v>21.334625709999997</v>
      </c>
      <c r="FC22" s="307">
        <v>-6.8011181199999946</v>
      </c>
      <c r="FD22" s="306">
        <v>11.67640797</v>
      </c>
      <c r="FE22" s="306">
        <v>72.272842749999995</v>
      </c>
      <c r="FF22" s="306">
        <v>-60.596434779999996</v>
      </c>
      <c r="FG22" s="304">
        <v>12.612703380000001</v>
      </c>
      <c r="FH22" s="304">
        <v>66.516358630000013</v>
      </c>
      <c r="FI22" s="304">
        <v>-53.903655250000014</v>
      </c>
      <c r="FJ22" s="306">
        <v>9.328620580570993</v>
      </c>
      <c r="FK22" s="306">
        <v>73.746425184286267</v>
      </c>
      <c r="FL22" s="315">
        <v>-64.417804603715268</v>
      </c>
      <c r="FM22" s="307">
        <v>9.5599069843715068</v>
      </c>
      <c r="FN22" s="307">
        <v>68.388269825148882</v>
      </c>
      <c r="FO22" s="307">
        <v>-58.828362840777373</v>
      </c>
      <c r="FP22" s="306">
        <v>8.5810376218833042</v>
      </c>
      <c r="FQ22" s="306">
        <v>68.917118864005587</v>
      </c>
      <c r="FR22" s="315">
        <v>-60.336081242122283</v>
      </c>
      <c r="FS22" s="307">
        <v>7.6854211735050058</v>
      </c>
      <c r="FT22" s="307">
        <v>86.280529819684517</v>
      </c>
      <c r="FU22" s="307">
        <v>-78.595108646179511</v>
      </c>
    </row>
    <row r="23" spans="1:177" ht="13.9" customHeight="1" x14ac:dyDescent="0.2">
      <c r="A23" s="284"/>
      <c r="H23" s="272" t="s">
        <v>181</v>
      </c>
      <c r="J23" s="303"/>
      <c r="K23" s="303"/>
      <c r="L23" s="303"/>
      <c r="M23" s="304"/>
      <c r="N23" s="304"/>
      <c r="O23" s="304"/>
      <c r="P23" s="303"/>
      <c r="Q23" s="303"/>
      <c r="R23" s="303"/>
      <c r="S23" s="304"/>
      <c r="T23" s="304"/>
      <c r="U23" s="304"/>
      <c r="V23" s="303"/>
      <c r="W23" s="303"/>
      <c r="X23" s="303"/>
      <c r="Y23" s="304"/>
      <c r="Z23" s="304"/>
      <c r="AA23" s="304"/>
      <c r="AB23" s="303"/>
      <c r="AC23" s="303"/>
      <c r="AD23" s="303"/>
      <c r="AE23" s="304"/>
      <c r="AF23" s="304"/>
      <c r="AG23" s="304"/>
      <c r="AH23" s="303"/>
      <c r="AI23" s="303"/>
      <c r="AJ23" s="303"/>
      <c r="AK23" s="304"/>
      <c r="AL23" s="304"/>
      <c r="AM23" s="304"/>
      <c r="AN23" s="303"/>
      <c r="AO23" s="303"/>
      <c r="AP23" s="303"/>
      <c r="AQ23" s="304"/>
      <c r="AR23" s="304"/>
      <c r="AS23" s="304"/>
      <c r="AT23" s="303"/>
      <c r="AU23" s="303"/>
      <c r="AV23" s="303"/>
      <c r="AW23" s="304"/>
      <c r="AX23" s="304"/>
      <c r="AY23" s="304"/>
      <c r="AZ23" s="303"/>
      <c r="BA23" s="303"/>
      <c r="BB23" s="303"/>
      <c r="BC23" s="304"/>
      <c r="BD23" s="304"/>
      <c r="BE23" s="304"/>
      <c r="BF23" s="303"/>
      <c r="BG23" s="303"/>
      <c r="BH23" s="303"/>
      <c r="BI23" s="304"/>
      <c r="BJ23" s="304"/>
      <c r="BK23" s="304"/>
      <c r="BL23" s="303"/>
      <c r="BM23" s="303"/>
      <c r="BN23" s="303"/>
      <c r="BO23" s="304"/>
      <c r="BP23" s="304"/>
      <c r="BQ23" s="304"/>
      <c r="BR23" s="305"/>
      <c r="BS23" s="305"/>
      <c r="BT23" s="305"/>
      <c r="BU23" s="304"/>
      <c r="BV23" s="304"/>
      <c r="BW23" s="304"/>
      <c r="BX23" s="303"/>
      <c r="BY23" s="303"/>
      <c r="BZ23" s="303"/>
      <c r="CA23" s="304"/>
      <c r="CB23" s="304"/>
      <c r="CC23" s="304"/>
      <c r="CD23" s="303"/>
      <c r="CE23" s="303"/>
      <c r="CF23" s="303"/>
      <c r="CG23" s="304"/>
      <c r="CH23" s="304"/>
      <c r="CI23" s="304"/>
      <c r="CJ23" s="303"/>
      <c r="CK23" s="303"/>
      <c r="CL23" s="303"/>
      <c r="CM23" s="304"/>
      <c r="CN23" s="304"/>
      <c r="CO23" s="304"/>
      <c r="CP23" s="303"/>
      <c r="CQ23" s="303"/>
      <c r="CR23" s="303"/>
      <c r="CS23" s="304"/>
      <c r="CT23" s="304"/>
      <c r="CU23" s="304"/>
      <c r="CV23" s="303"/>
      <c r="CW23" s="303"/>
      <c r="CX23" s="303"/>
      <c r="CY23" s="304"/>
      <c r="CZ23" s="304"/>
      <c r="DA23" s="304"/>
      <c r="DB23" s="303"/>
      <c r="DC23" s="303"/>
      <c r="DD23" s="303"/>
      <c r="DE23" s="304"/>
      <c r="DF23" s="304"/>
      <c r="DG23" s="304"/>
      <c r="DH23" s="303"/>
      <c r="DI23" s="303"/>
      <c r="DJ23" s="303"/>
      <c r="DK23" s="304"/>
      <c r="DL23" s="304"/>
      <c r="DM23" s="304"/>
      <c r="DN23" s="303"/>
      <c r="DO23" s="303"/>
      <c r="DP23" s="303"/>
      <c r="DQ23" s="304"/>
      <c r="DR23" s="304"/>
      <c r="DS23" s="304"/>
      <c r="DT23" s="303"/>
      <c r="DU23" s="303"/>
      <c r="DV23" s="303"/>
      <c r="DW23" s="304"/>
      <c r="DX23" s="304"/>
      <c r="DY23" s="304"/>
      <c r="DZ23" s="303"/>
      <c r="EA23" s="303"/>
      <c r="EB23" s="303"/>
      <c r="EC23" s="304"/>
      <c r="ED23" s="304"/>
      <c r="EE23" s="304"/>
      <c r="EF23" s="303"/>
      <c r="EG23" s="303"/>
      <c r="EH23" s="303"/>
      <c r="EI23" s="304"/>
      <c r="EJ23" s="304"/>
      <c r="EK23" s="304"/>
      <c r="EL23" s="303">
        <v>87.729729520000006</v>
      </c>
      <c r="EM23" s="303">
        <v>37.773677339999999</v>
      </c>
      <c r="EN23" s="303">
        <v>49.956052180000007</v>
      </c>
      <c r="EO23" s="304">
        <v>84.92283943999999</v>
      </c>
      <c r="EP23" s="304">
        <v>21.374578960000001</v>
      </c>
      <c r="EQ23" s="304">
        <v>63.548260479999989</v>
      </c>
      <c r="ER23" s="303">
        <v>97.322027710000015</v>
      </c>
      <c r="ES23" s="303">
        <v>23.01703298</v>
      </c>
      <c r="ET23" s="303">
        <v>74.304994730000018</v>
      </c>
      <c r="EU23" s="304">
        <v>80.640205940000001</v>
      </c>
      <c r="EV23" s="304">
        <v>38.099191590000004</v>
      </c>
      <c r="EW23" s="304">
        <v>42.541014349999998</v>
      </c>
      <c r="EX23" s="306">
        <v>72.897641500000006</v>
      </c>
      <c r="EY23" s="306">
        <v>26.755959650000008</v>
      </c>
      <c r="EZ23" s="306">
        <v>46.141681849999998</v>
      </c>
      <c r="FA23" s="307">
        <v>92.814816199999996</v>
      </c>
      <c r="FB23" s="307">
        <v>31.682865450000001</v>
      </c>
      <c r="FC23" s="307">
        <v>61.131950749999994</v>
      </c>
      <c r="FD23" s="306">
        <v>76.151041840000005</v>
      </c>
      <c r="FE23" s="306">
        <v>33.549160790000002</v>
      </c>
      <c r="FF23" s="306">
        <v>42.601881050000003</v>
      </c>
      <c r="FG23" s="304">
        <v>41.441197389999999</v>
      </c>
      <c r="FH23" s="304">
        <v>26.237517439999998</v>
      </c>
      <c r="FI23" s="304">
        <v>15.203679950000001</v>
      </c>
      <c r="FJ23" s="306">
        <v>23.085162968397452</v>
      </c>
      <c r="FK23" s="306">
        <v>23.287063572839031</v>
      </c>
      <c r="FL23" s="306">
        <v>-0.20190060444157965</v>
      </c>
      <c r="FM23" s="307">
        <v>25.645634759117584</v>
      </c>
      <c r="FN23" s="307">
        <v>13.723383861725285</v>
      </c>
      <c r="FO23" s="307">
        <v>11.922250897392299</v>
      </c>
      <c r="FP23" s="306">
        <v>33.771930810048929</v>
      </c>
      <c r="FQ23" s="306">
        <v>16.431817831967784</v>
      </c>
      <c r="FR23" s="306">
        <v>17.340112978081144</v>
      </c>
      <c r="FS23" s="307">
        <v>33.9824819375876</v>
      </c>
      <c r="FT23" s="307">
        <v>32.870300759570412</v>
      </c>
      <c r="FU23" s="307">
        <v>1.1121811780171882</v>
      </c>
    </row>
    <row r="24" spans="1:177" ht="13.9" customHeight="1" x14ac:dyDescent="0.2">
      <c r="A24" s="284"/>
      <c r="G24" s="272" t="s">
        <v>498</v>
      </c>
      <c r="H24" s="272"/>
      <c r="J24" s="303"/>
      <c r="K24" s="303"/>
      <c r="L24" s="303"/>
      <c r="M24" s="304"/>
      <c r="N24" s="304"/>
      <c r="O24" s="304"/>
      <c r="P24" s="303"/>
      <c r="Q24" s="303"/>
      <c r="R24" s="303"/>
      <c r="S24" s="304"/>
      <c r="T24" s="304"/>
      <c r="U24" s="304"/>
      <c r="V24" s="303"/>
      <c r="W24" s="303"/>
      <c r="X24" s="303"/>
      <c r="Y24" s="304"/>
      <c r="Z24" s="304"/>
      <c r="AA24" s="304"/>
      <c r="AB24" s="303"/>
      <c r="AC24" s="303"/>
      <c r="AD24" s="303"/>
      <c r="AE24" s="304"/>
      <c r="AF24" s="304"/>
      <c r="AG24" s="304"/>
      <c r="AH24" s="303"/>
      <c r="AI24" s="303"/>
      <c r="AJ24" s="303"/>
      <c r="AK24" s="304"/>
      <c r="AL24" s="304"/>
      <c r="AM24" s="304"/>
      <c r="AN24" s="303"/>
      <c r="AO24" s="303"/>
      <c r="AP24" s="303"/>
      <c r="AQ24" s="304"/>
      <c r="AR24" s="304"/>
      <c r="AS24" s="304"/>
      <c r="AT24" s="303"/>
      <c r="AU24" s="303"/>
      <c r="AV24" s="303"/>
      <c r="AW24" s="304"/>
      <c r="AX24" s="304"/>
      <c r="AY24" s="304"/>
      <c r="AZ24" s="303"/>
      <c r="BA24" s="303"/>
      <c r="BB24" s="303"/>
      <c r="BC24" s="304"/>
      <c r="BD24" s="304"/>
      <c r="BE24" s="304"/>
      <c r="BF24" s="303"/>
      <c r="BG24" s="303"/>
      <c r="BH24" s="303"/>
      <c r="BI24" s="304"/>
      <c r="BJ24" s="304"/>
      <c r="BK24" s="304"/>
      <c r="BL24" s="303"/>
      <c r="BM24" s="303"/>
      <c r="BN24" s="303"/>
      <c r="BO24" s="304"/>
      <c r="BP24" s="304"/>
      <c r="BQ24" s="304"/>
      <c r="BR24" s="305"/>
      <c r="BS24" s="305"/>
      <c r="BT24" s="305"/>
      <c r="BU24" s="304"/>
      <c r="BV24" s="304"/>
      <c r="BW24" s="304"/>
      <c r="BX24" s="303"/>
      <c r="BY24" s="303"/>
      <c r="BZ24" s="303"/>
      <c r="CA24" s="304"/>
      <c r="CB24" s="304"/>
      <c r="CC24" s="304"/>
      <c r="CD24" s="303"/>
      <c r="CE24" s="303"/>
      <c r="CF24" s="303"/>
      <c r="CG24" s="304"/>
      <c r="CH24" s="304"/>
      <c r="CI24" s="304"/>
      <c r="CJ24" s="303"/>
      <c r="CK24" s="303"/>
      <c r="CL24" s="303"/>
      <c r="CM24" s="304"/>
      <c r="CN24" s="304"/>
      <c r="CO24" s="304"/>
      <c r="CP24" s="303"/>
      <c r="CQ24" s="303"/>
      <c r="CR24" s="303"/>
      <c r="CS24" s="304"/>
      <c r="CT24" s="304"/>
      <c r="CU24" s="304"/>
      <c r="CV24" s="303"/>
      <c r="CW24" s="303"/>
      <c r="CX24" s="303"/>
      <c r="CY24" s="304"/>
      <c r="CZ24" s="304"/>
      <c r="DA24" s="304"/>
      <c r="DB24" s="303"/>
      <c r="DC24" s="303"/>
      <c r="DD24" s="303"/>
      <c r="DE24" s="304"/>
      <c r="DF24" s="304"/>
      <c r="DG24" s="304"/>
      <c r="DH24" s="303"/>
      <c r="DI24" s="303"/>
      <c r="DJ24" s="303"/>
      <c r="DK24" s="304"/>
      <c r="DL24" s="304"/>
      <c r="DM24" s="304"/>
      <c r="DN24" s="303"/>
      <c r="DO24" s="303"/>
      <c r="DP24" s="303"/>
      <c r="DQ24" s="304"/>
      <c r="DR24" s="304"/>
      <c r="DS24" s="304"/>
      <c r="DT24" s="303"/>
      <c r="DU24" s="303"/>
      <c r="DV24" s="303"/>
      <c r="DW24" s="304"/>
      <c r="DX24" s="304"/>
      <c r="DY24" s="304"/>
      <c r="DZ24" s="303">
        <v>0</v>
      </c>
      <c r="EA24" s="303">
        <v>0</v>
      </c>
      <c r="EB24" s="303">
        <v>0</v>
      </c>
      <c r="EC24" s="304">
        <v>0</v>
      </c>
      <c r="ED24" s="304">
        <v>0</v>
      </c>
      <c r="EE24" s="304">
        <v>0</v>
      </c>
      <c r="EF24" s="303">
        <v>0</v>
      </c>
      <c r="EG24" s="303">
        <v>0</v>
      </c>
      <c r="EH24" s="303">
        <v>0</v>
      </c>
      <c r="EI24" s="304">
        <v>0</v>
      </c>
      <c r="EJ24" s="304">
        <v>0</v>
      </c>
      <c r="EK24" s="304">
        <v>0</v>
      </c>
      <c r="EL24" s="303">
        <v>0</v>
      </c>
      <c r="EM24" s="303">
        <v>0</v>
      </c>
      <c r="EN24" s="303">
        <v>0</v>
      </c>
      <c r="EO24" s="304">
        <v>0</v>
      </c>
      <c r="EP24" s="304">
        <v>0</v>
      </c>
      <c r="EQ24" s="304">
        <v>0</v>
      </c>
      <c r="ER24" s="303">
        <v>0</v>
      </c>
      <c r="ES24" s="303">
        <v>0</v>
      </c>
      <c r="ET24" s="303">
        <v>0</v>
      </c>
      <c r="EU24" s="304">
        <v>0</v>
      </c>
      <c r="EV24" s="304">
        <v>0</v>
      </c>
      <c r="EW24" s="304">
        <v>0</v>
      </c>
      <c r="EX24" s="306">
        <v>0</v>
      </c>
      <c r="EY24" s="306">
        <v>0</v>
      </c>
      <c r="EZ24" s="306">
        <v>0</v>
      </c>
      <c r="FA24" s="307">
        <v>0</v>
      </c>
      <c r="FB24" s="307">
        <v>0</v>
      </c>
      <c r="FC24" s="307">
        <v>0</v>
      </c>
      <c r="FD24" s="306">
        <v>0</v>
      </c>
      <c r="FE24" s="306">
        <v>0</v>
      </c>
      <c r="FF24" s="306">
        <v>0</v>
      </c>
      <c r="FG24" s="304">
        <v>0</v>
      </c>
      <c r="FH24" s="304">
        <v>0</v>
      </c>
      <c r="FI24" s="304">
        <v>0</v>
      </c>
      <c r="FJ24" s="306">
        <v>0</v>
      </c>
      <c r="FK24" s="306">
        <v>0</v>
      </c>
      <c r="FL24" s="306">
        <v>0</v>
      </c>
      <c r="FM24" s="307">
        <v>0</v>
      </c>
      <c r="FN24" s="307">
        <v>0</v>
      </c>
      <c r="FO24" s="307">
        <v>0</v>
      </c>
      <c r="FP24" s="306">
        <v>0</v>
      </c>
      <c r="FQ24" s="306">
        <v>0</v>
      </c>
      <c r="FR24" s="306">
        <v>0</v>
      </c>
      <c r="FS24" s="307">
        <v>0</v>
      </c>
      <c r="FT24" s="307">
        <v>0</v>
      </c>
      <c r="FU24" s="307">
        <v>0</v>
      </c>
    </row>
    <row r="25" spans="1:177" ht="13.9" customHeight="1" x14ac:dyDescent="0.2">
      <c r="A25" s="284"/>
      <c r="G25" s="272" t="s">
        <v>499</v>
      </c>
      <c r="J25" s="303"/>
      <c r="K25" s="303"/>
      <c r="L25" s="303"/>
      <c r="M25" s="304"/>
      <c r="N25" s="304"/>
      <c r="O25" s="304"/>
      <c r="P25" s="303"/>
      <c r="Q25" s="303"/>
      <c r="R25" s="303"/>
      <c r="S25" s="304"/>
      <c r="T25" s="304"/>
      <c r="U25" s="304"/>
      <c r="V25" s="303"/>
      <c r="W25" s="303"/>
      <c r="X25" s="303"/>
      <c r="Y25" s="304"/>
      <c r="Z25" s="304"/>
      <c r="AA25" s="304"/>
      <c r="AB25" s="303"/>
      <c r="AC25" s="303"/>
      <c r="AD25" s="303"/>
      <c r="AE25" s="304"/>
      <c r="AF25" s="304"/>
      <c r="AG25" s="304"/>
      <c r="AH25" s="303"/>
      <c r="AI25" s="303"/>
      <c r="AJ25" s="303"/>
      <c r="AK25" s="304"/>
      <c r="AL25" s="304"/>
      <c r="AM25" s="304"/>
      <c r="AN25" s="303"/>
      <c r="AO25" s="303"/>
      <c r="AP25" s="303"/>
      <c r="AQ25" s="304"/>
      <c r="AR25" s="304"/>
      <c r="AS25" s="304"/>
      <c r="AT25" s="303"/>
      <c r="AU25" s="303"/>
      <c r="AV25" s="303"/>
      <c r="AW25" s="304"/>
      <c r="AX25" s="304"/>
      <c r="AY25" s="304"/>
      <c r="AZ25" s="303"/>
      <c r="BA25" s="303"/>
      <c r="BB25" s="303"/>
      <c r="BC25" s="304"/>
      <c r="BD25" s="304"/>
      <c r="BE25" s="304"/>
      <c r="BF25" s="303"/>
      <c r="BG25" s="303"/>
      <c r="BH25" s="303"/>
      <c r="BI25" s="304"/>
      <c r="BJ25" s="304"/>
      <c r="BK25" s="304"/>
      <c r="BL25" s="303"/>
      <c r="BM25" s="303"/>
      <c r="BN25" s="303"/>
      <c r="BO25" s="304"/>
      <c r="BP25" s="304"/>
      <c r="BQ25" s="304"/>
      <c r="BR25" s="305"/>
      <c r="BS25" s="305"/>
      <c r="BT25" s="305"/>
      <c r="BU25" s="304"/>
      <c r="BV25" s="304"/>
      <c r="BW25" s="304"/>
      <c r="BX25" s="303"/>
      <c r="BY25" s="303"/>
      <c r="BZ25" s="303"/>
      <c r="CA25" s="304"/>
      <c r="CB25" s="304"/>
      <c r="CC25" s="304"/>
      <c r="CD25" s="303"/>
      <c r="CE25" s="303"/>
      <c r="CF25" s="303"/>
      <c r="CG25" s="304"/>
      <c r="CH25" s="304"/>
      <c r="CI25" s="304"/>
      <c r="CJ25" s="303"/>
      <c r="CK25" s="303"/>
      <c r="CL25" s="303"/>
      <c r="CM25" s="304"/>
      <c r="CN25" s="304"/>
      <c r="CO25" s="304"/>
      <c r="CP25" s="303"/>
      <c r="CQ25" s="303"/>
      <c r="CR25" s="303"/>
      <c r="CS25" s="304"/>
      <c r="CT25" s="304"/>
      <c r="CU25" s="304"/>
      <c r="CV25" s="303"/>
      <c r="CW25" s="303"/>
      <c r="CX25" s="303"/>
      <c r="CY25" s="304"/>
      <c r="CZ25" s="304"/>
      <c r="DA25" s="304"/>
      <c r="DB25" s="303"/>
      <c r="DC25" s="303"/>
      <c r="DD25" s="303"/>
      <c r="DE25" s="304"/>
      <c r="DF25" s="304"/>
      <c r="DG25" s="304"/>
      <c r="DH25" s="303"/>
      <c r="DI25" s="303"/>
      <c r="DJ25" s="303"/>
      <c r="DK25" s="304"/>
      <c r="DL25" s="304"/>
      <c r="DM25" s="304"/>
      <c r="DN25" s="303"/>
      <c r="DO25" s="303"/>
      <c r="DP25" s="303"/>
      <c r="DQ25" s="304"/>
      <c r="DR25" s="304"/>
      <c r="DS25" s="304"/>
      <c r="DT25" s="303"/>
      <c r="DU25" s="303"/>
      <c r="DV25" s="303"/>
      <c r="DW25" s="304"/>
      <c r="DX25" s="304"/>
      <c r="DY25" s="304"/>
      <c r="DZ25" s="303">
        <v>0</v>
      </c>
      <c r="EA25" s="303">
        <v>0</v>
      </c>
      <c r="EB25" s="303">
        <v>0</v>
      </c>
      <c r="EC25" s="304">
        <v>0</v>
      </c>
      <c r="ED25" s="304">
        <v>0</v>
      </c>
      <c r="EE25" s="304">
        <v>0</v>
      </c>
      <c r="EF25" s="303">
        <v>0</v>
      </c>
      <c r="EG25" s="303">
        <v>0</v>
      </c>
      <c r="EH25" s="303">
        <v>0</v>
      </c>
      <c r="EI25" s="304">
        <v>0</v>
      </c>
      <c r="EJ25" s="304">
        <v>0</v>
      </c>
      <c r="EK25" s="304">
        <v>0</v>
      </c>
      <c r="EL25" s="303">
        <v>3.804196E-2</v>
      </c>
      <c r="EM25" s="303">
        <v>0.74133768000000011</v>
      </c>
      <c r="EN25" s="303">
        <v>-0.70329572000000007</v>
      </c>
      <c r="EO25" s="304">
        <v>8.9460239999999996E-2</v>
      </c>
      <c r="EP25" s="304">
        <v>0</v>
      </c>
      <c r="EQ25" s="304">
        <v>8.9460239999999996E-2</v>
      </c>
      <c r="ER25" s="303">
        <v>7.2842970000000007E-2</v>
      </c>
      <c r="ES25" s="303">
        <v>3.0323968199999998</v>
      </c>
      <c r="ET25" s="303">
        <v>-2.9595538499999998</v>
      </c>
      <c r="EU25" s="304">
        <v>0.26713122</v>
      </c>
      <c r="EV25" s="304">
        <v>2.4584263100000001</v>
      </c>
      <c r="EW25" s="304">
        <v>-2.1912950900000001</v>
      </c>
      <c r="EX25" s="315">
        <v>0.27068351999999996</v>
      </c>
      <c r="EY25" s="306">
        <v>1.7932283000000002</v>
      </c>
      <c r="EZ25" s="306">
        <v>-1.5225447800000003</v>
      </c>
      <c r="FA25" s="314">
        <v>0.2005295802270842</v>
      </c>
      <c r="FB25" s="307">
        <v>1.0244541076680611</v>
      </c>
      <c r="FC25" s="307">
        <v>-0.82392452744097688</v>
      </c>
      <c r="FD25" s="315">
        <v>0.17166403</v>
      </c>
      <c r="FE25" s="306">
        <v>1.26525606</v>
      </c>
      <c r="FF25" s="306">
        <v>-1.0935920299999999</v>
      </c>
      <c r="FG25" s="304">
        <v>0.17175814</v>
      </c>
      <c r="FH25" s="304">
        <v>2.2586742500000003</v>
      </c>
      <c r="FI25" s="304">
        <v>-2.0869161100000002</v>
      </c>
      <c r="FJ25" s="315">
        <v>0.22140602540514115</v>
      </c>
      <c r="FK25" s="306">
        <v>0.29589319749520893</v>
      </c>
      <c r="FL25" s="306">
        <v>-7.4487172090067777E-2</v>
      </c>
      <c r="FM25" s="314">
        <v>0.23326858775503934</v>
      </c>
      <c r="FN25" s="307">
        <v>0.69689384168417701</v>
      </c>
      <c r="FO25" s="307">
        <v>-0.46362525392913767</v>
      </c>
      <c r="FP25" s="315">
        <v>0.14752504368201769</v>
      </c>
      <c r="FQ25" s="306">
        <v>0.18773139266375585</v>
      </c>
      <c r="FR25" s="306">
        <v>-4.0206348981738166E-2</v>
      </c>
      <c r="FS25" s="314">
        <v>0.1653000421739538</v>
      </c>
      <c r="FT25" s="307">
        <v>0.10515988230706087</v>
      </c>
      <c r="FU25" s="307">
        <v>6.0140159866892931E-2</v>
      </c>
    </row>
    <row r="26" spans="1:177" s="284" customFormat="1" ht="13.9" customHeight="1" x14ac:dyDescent="0.2">
      <c r="F26" s="272" t="s">
        <v>500</v>
      </c>
      <c r="H26" s="276"/>
      <c r="I26" s="276"/>
      <c r="J26" s="303">
        <v>266.72592938999998</v>
      </c>
      <c r="K26" s="303">
        <v>172.9</v>
      </c>
      <c r="L26" s="303">
        <v>93.82592938999997</v>
      </c>
      <c r="M26" s="304">
        <v>193.15585056</v>
      </c>
      <c r="N26" s="304">
        <v>161.10000000000002</v>
      </c>
      <c r="O26" s="304">
        <v>32.055850559999982</v>
      </c>
      <c r="P26" s="303">
        <v>251.18134140000001</v>
      </c>
      <c r="Q26" s="303">
        <v>177.2</v>
      </c>
      <c r="R26" s="303">
        <v>73.981341400000019</v>
      </c>
      <c r="S26" s="304">
        <v>327.68110999999999</v>
      </c>
      <c r="T26" s="304">
        <v>199.2</v>
      </c>
      <c r="U26" s="304">
        <v>128.48111</v>
      </c>
      <c r="V26" s="303">
        <v>454.53600209999996</v>
      </c>
      <c r="W26" s="303">
        <v>293.40001468509701</v>
      </c>
      <c r="X26" s="303">
        <v>161.13598741490296</v>
      </c>
      <c r="Y26" s="304">
        <v>330.89489860000003</v>
      </c>
      <c r="Z26" s="304">
        <v>283</v>
      </c>
      <c r="AA26" s="304">
        <v>47.894898600000033</v>
      </c>
      <c r="AB26" s="303">
        <v>431.52784159999999</v>
      </c>
      <c r="AC26" s="303">
        <v>293.7000558458609</v>
      </c>
      <c r="AD26" s="303">
        <v>137.82778575413909</v>
      </c>
      <c r="AE26" s="304">
        <v>498.5159764</v>
      </c>
      <c r="AF26" s="304">
        <v>318.0000370864426</v>
      </c>
      <c r="AG26" s="304">
        <v>180.5159393135574</v>
      </c>
      <c r="AH26" s="303">
        <v>670.99587192000013</v>
      </c>
      <c r="AI26" s="303">
        <v>309.89999999999998</v>
      </c>
      <c r="AJ26" s="303">
        <v>361.09587192000015</v>
      </c>
      <c r="AK26" s="304">
        <v>486.89191584000008</v>
      </c>
      <c r="AL26" s="304">
        <v>306.52700000000004</v>
      </c>
      <c r="AM26" s="304">
        <v>180.36491584000004</v>
      </c>
      <c r="AN26" s="303">
        <v>604.65101400000003</v>
      </c>
      <c r="AO26" s="303">
        <v>311.30001891813492</v>
      </c>
      <c r="AP26" s="303">
        <v>293.35099508186511</v>
      </c>
      <c r="AQ26" s="304">
        <v>668.5666020000001</v>
      </c>
      <c r="AR26" s="304">
        <v>334.79999999999995</v>
      </c>
      <c r="AS26" s="304">
        <v>333.76660200000015</v>
      </c>
      <c r="AT26" s="303">
        <v>793.6308895799998</v>
      </c>
      <c r="AU26" s="303">
        <v>353</v>
      </c>
      <c r="AV26" s="303">
        <v>440.6308895799998</v>
      </c>
      <c r="AW26" s="304">
        <v>582.10393832999989</v>
      </c>
      <c r="AX26" s="304">
        <v>345.79</v>
      </c>
      <c r="AY26" s="304">
        <v>236.31393832999987</v>
      </c>
      <c r="AZ26" s="303">
        <v>805.14988907999987</v>
      </c>
      <c r="BA26" s="303">
        <v>351.14000395907368</v>
      </c>
      <c r="BB26" s="303">
        <v>454.00988512092619</v>
      </c>
      <c r="BC26" s="304">
        <v>799.76827880999986</v>
      </c>
      <c r="BD26" s="304">
        <v>369.7</v>
      </c>
      <c r="BE26" s="304">
        <v>430.06827880999987</v>
      </c>
      <c r="BF26" s="303">
        <v>1003.3371535199999</v>
      </c>
      <c r="BG26" s="303">
        <v>383.56</v>
      </c>
      <c r="BH26" s="303">
        <v>619.77715351999996</v>
      </c>
      <c r="BI26" s="304">
        <v>650.99788235999983</v>
      </c>
      <c r="BJ26" s="304">
        <v>387.30001771367284</v>
      </c>
      <c r="BK26" s="304">
        <v>263.69786464632699</v>
      </c>
      <c r="BL26" s="303">
        <v>933.54491831999985</v>
      </c>
      <c r="BM26" s="303">
        <v>388.41542857142895</v>
      </c>
      <c r="BN26" s="303">
        <v>545.1294897485709</v>
      </c>
      <c r="BO26" s="304">
        <v>930.6094582799999</v>
      </c>
      <c r="BP26" s="304">
        <v>382.5</v>
      </c>
      <c r="BQ26" s="304">
        <v>548.1094582799999</v>
      </c>
      <c r="BR26" s="305">
        <v>1121.901067278</v>
      </c>
      <c r="BS26" s="305">
        <v>393.00001565837772</v>
      </c>
      <c r="BT26" s="305">
        <v>728.90105161962231</v>
      </c>
      <c r="BU26" s="304">
        <v>751.99360226599993</v>
      </c>
      <c r="BV26" s="304">
        <v>386.55061369628038</v>
      </c>
      <c r="BW26" s="304">
        <v>365.44298856971955</v>
      </c>
      <c r="BX26" s="303">
        <v>1004.2017201619999</v>
      </c>
      <c r="BY26" s="303">
        <v>415.00000409465781</v>
      </c>
      <c r="BZ26" s="303">
        <v>589.20171606734209</v>
      </c>
      <c r="CA26" s="304">
        <v>1046.835418376</v>
      </c>
      <c r="CB26" s="304">
        <v>404.25066666666703</v>
      </c>
      <c r="CC26" s="304">
        <v>642.58475170933298</v>
      </c>
      <c r="CD26" s="303">
        <v>1328.8016649600004</v>
      </c>
      <c r="CE26" s="303">
        <v>418.9</v>
      </c>
      <c r="CF26" s="303">
        <v>909.9016649600004</v>
      </c>
      <c r="CG26" s="304">
        <v>857.28733992000014</v>
      </c>
      <c r="CH26" s="304">
        <v>412</v>
      </c>
      <c r="CI26" s="304">
        <v>445.28733992000014</v>
      </c>
      <c r="CJ26" s="303">
        <v>1064.7978660000001</v>
      </c>
      <c r="CK26" s="303">
        <v>444</v>
      </c>
      <c r="CL26" s="303">
        <v>620.79786600000011</v>
      </c>
      <c r="CM26" s="304">
        <v>1129.7415729600002</v>
      </c>
      <c r="CN26" s="304">
        <v>385.1</v>
      </c>
      <c r="CO26" s="304">
        <v>744.64157296000019</v>
      </c>
      <c r="CP26" s="303">
        <v>1395.8769551999999</v>
      </c>
      <c r="CQ26" s="303">
        <v>435</v>
      </c>
      <c r="CR26" s="303">
        <v>960.87695519999988</v>
      </c>
      <c r="CS26" s="304">
        <v>504.83965240800001</v>
      </c>
      <c r="CT26" s="304">
        <v>372</v>
      </c>
      <c r="CU26" s="304">
        <v>132.83965240800001</v>
      </c>
      <c r="CV26" s="303">
        <v>693.34523949599998</v>
      </c>
      <c r="CW26" s="303">
        <v>411</v>
      </c>
      <c r="CX26" s="303">
        <v>282.34523949599998</v>
      </c>
      <c r="CY26" s="304">
        <v>1012.8683728799999</v>
      </c>
      <c r="CZ26" s="304">
        <v>420</v>
      </c>
      <c r="DA26" s="304">
        <v>592.86837287999992</v>
      </c>
      <c r="DB26" s="303">
        <v>681.87925165499996</v>
      </c>
      <c r="DC26" s="303">
        <v>216</v>
      </c>
      <c r="DD26" s="303">
        <v>465.87925165499996</v>
      </c>
      <c r="DE26" s="304">
        <v>0</v>
      </c>
      <c r="DF26" s="304">
        <v>73.000003072948331</v>
      </c>
      <c r="DG26" s="304">
        <v>-73.000003072948331</v>
      </c>
      <c r="DH26" s="303">
        <v>0</v>
      </c>
      <c r="DI26" s="303">
        <v>68</v>
      </c>
      <c r="DJ26" s="303">
        <v>-68</v>
      </c>
      <c r="DK26" s="304">
        <v>0.52823326500000012</v>
      </c>
      <c r="DL26" s="304">
        <v>91.8</v>
      </c>
      <c r="DM26" s="304">
        <v>-91.271766735</v>
      </c>
      <c r="DN26" s="303">
        <v>25.095677539999997</v>
      </c>
      <c r="DO26" s="303">
        <v>40.099000000000004</v>
      </c>
      <c r="DP26" s="303">
        <v>-15.003322460000007</v>
      </c>
      <c r="DQ26" s="304">
        <v>18.970966539999999</v>
      </c>
      <c r="DR26" s="304">
        <v>40.099000000000004</v>
      </c>
      <c r="DS26" s="304">
        <v>-21.128033460000005</v>
      </c>
      <c r="DT26" s="303">
        <v>54.773160159999996</v>
      </c>
      <c r="DU26" s="303">
        <v>51.998999999999995</v>
      </c>
      <c r="DV26" s="303">
        <v>2.774160160000001</v>
      </c>
      <c r="DW26" s="304">
        <v>408.06473445999995</v>
      </c>
      <c r="DX26" s="304">
        <v>106.499</v>
      </c>
      <c r="DY26" s="304">
        <v>301.56573445999993</v>
      </c>
      <c r="DZ26" s="303">
        <v>482.3781424554</v>
      </c>
      <c r="EA26" s="303">
        <v>42.100003913609427</v>
      </c>
      <c r="EB26" s="303">
        <v>440.27813854179055</v>
      </c>
      <c r="EC26" s="304">
        <v>197.20983638979999</v>
      </c>
      <c r="ED26" s="304">
        <v>47.999996922756488</v>
      </c>
      <c r="EE26" s="304">
        <v>149.20983946704351</v>
      </c>
      <c r="EF26" s="303">
        <v>193.48193035080001</v>
      </c>
      <c r="EG26" s="303">
        <v>63</v>
      </c>
      <c r="EH26" s="303">
        <v>130.48193035080001</v>
      </c>
      <c r="EI26" s="304">
        <v>263.23869040560004</v>
      </c>
      <c r="EJ26" s="304">
        <v>90.524149999999992</v>
      </c>
      <c r="EK26" s="304">
        <v>172.71454040560005</v>
      </c>
      <c r="EL26" s="303">
        <v>503.94708688232413</v>
      </c>
      <c r="EM26" s="303">
        <v>97.043318663185914</v>
      </c>
      <c r="EN26" s="303">
        <v>406.90376821913821</v>
      </c>
      <c r="EO26" s="304">
        <v>371.05324765131604</v>
      </c>
      <c r="EP26" s="304">
        <v>107.87379645353096</v>
      </c>
      <c r="EQ26" s="304">
        <v>263.17945119778506</v>
      </c>
      <c r="ER26" s="303">
        <v>581.68082754488398</v>
      </c>
      <c r="ES26" s="303">
        <v>173.61098777050776</v>
      </c>
      <c r="ET26" s="303">
        <v>408.06983977437619</v>
      </c>
      <c r="EU26" s="304">
        <v>611.27480833801201</v>
      </c>
      <c r="EV26" s="304">
        <v>124.5331645373646</v>
      </c>
      <c r="EW26" s="304">
        <v>486.74164380064741</v>
      </c>
      <c r="EX26" s="306">
        <v>1025.8773599364999</v>
      </c>
      <c r="EY26" s="306">
        <v>167.08397648138748</v>
      </c>
      <c r="EZ26" s="306">
        <v>858.79338345511246</v>
      </c>
      <c r="FA26" s="307">
        <v>530.76071965949996</v>
      </c>
      <c r="FB26" s="307">
        <v>143.57818097744689</v>
      </c>
      <c r="FC26" s="307">
        <v>387.18253868205306</v>
      </c>
      <c r="FD26" s="306">
        <v>791.38508496600002</v>
      </c>
      <c r="FE26" s="306">
        <v>223.96077002131301</v>
      </c>
      <c r="FF26" s="306">
        <v>567.42431494468701</v>
      </c>
      <c r="FG26" s="304">
        <v>820.57886753499997</v>
      </c>
      <c r="FH26" s="304">
        <v>220.75261984226603</v>
      </c>
      <c r="FI26" s="304">
        <v>599.82624769273389</v>
      </c>
      <c r="FJ26" s="306">
        <v>1122.2704977448002</v>
      </c>
      <c r="FK26" s="306">
        <v>199.18903421783654</v>
      </c>
      <c r="FL26" s="306">
        <v>923.08146352696372</v>
      </c>
      <c r="FM26" s="307">
        <v>590.33440982420007</v>
      </c>
      <c r="FN26" s="307">
        <v>146.92546030399336</v>
      </c>
      <c r="FO26" s="307">
        <v>443.4089495202067</v>
      </c>
      <c r="FP26" s="306">
        <v>760.27499908620007</v>
      </c>
      <c r="FQ26" s="306">
        <v>230.87200033476478</v>
      </c>
      <c r="FR26" s="306">
        <v>529.40299875143523</v>
      </c>
      <c r="FS26" s="307">
        <v>746.35696179239994</v>
      </c>
      <c r="FT26" s="307">
        <v>251.6295307556874</v>
      </c>
      <c r="FU26" s="307">
        <v>494.72743103671257</v>
      </c>
    </row>
    <row r="27" spans="1:177" s="284" customFormat="1" ht="13.9" customHeight="1" x14ac:dyDescent="0.2">
      <c r="F27" s="272"/>
      <c r="G27" s="272" t="s">
        <v>501</v>
      </c>
      <c r="H27" s="276"/>
      <c r="I27" s="276"/>
      <c r="J27" s="303"/>
      <c r="K27" s="303"/>
      <c r="L27" s="303"/>
      <c r="M27" s="304"/>
      <c r="N27" s="304"/>
      <c r="O27" s="304"/>
      <c r="P27" s="303"/>
      <c r="Q27" s="303"/>
      <c r="R27" s="303"/>
      <c r="S27" s="304"/>
      <c r="T27" s="304"/>
      <c r="U27" s="304"/>
      <c r="V27" s="303"/>
      <c r="W27" s="303"/>
      <c r="X27" s="303"/>
      <c r="Y27" s="304"/>
      <c r="Z27" s="304"/>
      <c r="AA27" s="304"/>
      <c r="AB27" s="303"/>
      <c r="AC27" s="303"/>
      <c r="AD27" s="303"/>
      <c r="AE27" s="304"/>
      <c r="AF27" s="304"/>
      <c r="AG27" s="304"/>
      <c r="AH27" s="303"/>
      <c r="AI27" s="303"/>
      <c r="AJ27" s="303"/>
      <c r="AK27" s="304"/>
      <c r="AL27" s="304"/>
      <c r="AM27" s="304"/>
      <c r="AN27" s="303"/>
      <c r="AO27" s="303"/>
      <c r="AP27" s="303"/>
      <c r="AQ27" s="304"/>
      <c r="AR27" s="304"/>
      <c r="AS27" s="304"/>
      <c r="AT27" s="303"/>
      <c r="AU27" s="303"/>
      <c r="AV27" s="303"/>
      <c r="AW27" s="304"/>
      <c r="AX27" s="304"/>
      <c r="AY27" s="304"/>
      <c r="AZ27" s="303"/>
      <c r="BA27" s="303"/>
      <c r="BB27" s="303"/>
      <c r="BC27" s="304"/>
      <c r="BD27" s="304"/>
      <c r="BE27" s="304"/>
      <c r="BF27" s="303"/>
      <c r="BG27" s="303"/>
      <c r="BH27" s="303"/>
      <c r="BI27" s="304"/>
      <c r="BJ27" s="304"/>
      <c r="BK27" s="304"/>
      <c r="BL27" s="303"/>
      <c r="BM27" s="303"/>
      <c r="BN27" s="303"/>
      <c r="BO27" s="304"/>
      <c r="BP27" s="304"/>
      <c r="BQ27" s="304"/>
      <c r="BR27" s="305"/>
      <c r="BS27" s="305"/>
      <c r="BT27" s="305"/>
      <c r="BU27" s="304"/>
      <c r="BV27" s="304"/>
      <c r="BW27" s="304"/>
      <c r="BX27" s="303"/>
      <c r="BY27" s="303"/>
      <c r="BZ27" s="303"/>
      <c r="CA27" s="304"/>
      <c r="CB27" s="304"/>
      <c r="CC27" s="304"/>
      <c r="CD27" s="303"/>
      <c r="CE27" s="303"/>
      <c r="CF27" s="303"/>
      <c r="CG27" s="304"/>
      <c r="CH27" s="304"/>
      <c r="CI27" s="304"/>
      <c r="CJ27" s="303"/>
      <c r="CK27" s="303"/>
      <c r="CL27" s="303"/>
      <c r="CM27" s="304"/>
      <c r="CN27" s="304"/>
      <c r="CO27" s="304"/>
      <c r="CP27" s="303"/>
      <c r="CQ27" s="303"/>
      <c r="CR27" s="303"/>
      <c r="CS27" s="304"/>
      <c r="CT27" s="304"/>
      <c r="CU27" s="304"/>
      <c r="CV27" s="303"/>
      <c r="CW27" s="303"/>
      <c r="CX27" s="303"/>
      <c r="CY27" s="304"/>
      <c r="CZ27" s="304"/>
      <c r="DA27" s="304"/>
      <c r="DB27" s="303"/>
      <c r="DC27" s="303"/>
      <c r="DD27" s="303"/>
      <c r="DE27" s="304"/>
      <c r="DF27" s="304"/>
      <c r="DG27" s="304"/>
      <c r="DH27" s="303"/>
      <c r="DI27" s="303"/>
      <c r="DJ27" s="303"/>
      <c r="DK27" s="304"/>
      <c r="DL27" s="304"/>
      <c r="DM27" s="304"/>
      <c r="DN27" s="303"/>
      <c r="DO27" s="303"/>
      <c r="DP27" s="303"/>
      <c r="DQ27" s="304"/>
      <c r="DR27" s="304"/>
      <c r="DS27" s="304"/>
      <c r="DT27" s="303"/>
      <c r="DU27" s="303"/>
      <c r="DV27" s="303"/>
      <c r="DW27" s="304"/>
      <c r="DX27" s="304"/>
      <c r="DY27" s="304"/>
      <c r="DZ27" s="303"/>
      <c r="EA27" s="303"/>
      <c r="EB27" s="303"/>
      <c r="EC27" s="304"/>
      <c r="ED27" s="304"/>
      <c r="EE27" s="304"/>
      <c r="EF27" s="303"/>
      <c r="EG27" s="303"/>
      <c r="EH27" s="303"/>
      <c r="EI27" s="304"/>
      <c r="EJ27" s="304"/>
      <c r="EK27" s="304"/>
      <c r="EL27" s="303"/>
      <c r="EM27" s="303">
        <v>89.165139443185907</v>
      </c>
      <c r="EN27" s="303"/>
      <c r="EO27" s="304"/>
      <c r="EP27" s="304">
        <v>100.58037819353096</v>
      </c>
      <c r="EQ27" s="304"/>
      <c r="ER27" s="303"/>
      <c r="ES27" s="303">
        <v>163.79063491050778</v>
      </c>
      <c r="ET27" s="303"/>
      <c r="EU27" s="304"/>
      <c r="EV27" s="304">
        <v>115.74833198736459</v>
      </c>
      <c r="EW27" s="304"/>
      <c r="EX27" s="306"/>
      <c r="EY27" s="306">
        <v>148.14559990138747</v>
      </c>
      <c r="EZ27" s="306"/>
      <c r="FA27" s="307"/>
      <c r="FB27" s="307">
        <v>130.09187727744691</v>
      </c>
      <c r="FC27" s="307"/>
      <c r="FD27" s="306"/>
      <c r="FE27" s="306">
        <v>190.07226129131303</v>
      </c>
      <c r="FF27" s="306"/>
      <c r="FG27" s="304"/>
      <c r="FH27" s="304">
        <v>191.98307155226604</v>
      </c>
      <c r="FI27" s="304"/>
      <c r="FJ27" s="306"/>
      <c r="FK27" s="306">
        <v>162.72892002574164</v>
      </c>
      <c r="FL27" s="306"/>
      <c r="FM27" s="307"/>
      <c r="FN27" s="307">
        <v>118.19084488644202</v>
      </c>
      <c r="FO27" s="307"/>
      <c r="FP27" s="306"/>
      <c r="FQ27" s="306">
        <v>190.540816445231</v>
      </c>
      <c r="FR27" s="306"/>
      <c r="FS27" s="307"/>
      <c r="FT27" s="307">
        <v>213.82428862302521</v>
      </c>
      <c r="FU27" s="307"/>
    </row>
    <row r="28" spans="1:177" s="284" customFormat="1" ht="13.9" customHeight="1" x14ac:dyDescent="0.2">
      <c r="F28" s="272"/>
      <c r="G28" s="272" t="s">
        <v>502</v>
      </c>
      <c r="H28" s="276"/>
      <c r="I28" s="276"/>
      <c r="J28" s="303"/>
      <c r="K28" s="303"/>
      <c r="L28" s="303"/>
      <c r="M28" s="304"/>
      <c r="N28" s="304"/>
      <c r="O28" s="304"/>
      <c r="P28" s="303"/>
      <c r="Q28" s="303"/>
      <c r="R28" s="303"/>
      <c r="S28" s="304"/>
      <c r="T28" s="304"/>
      <c r="U28" s="304"/>
      <c r="V28" s="303"/>
      <c r="W28" s="303"/>
      <c r="X28" s="303"/>
      <c r="Y28" s="304"/>
      <c r="Z28" s="304"/>
      <c r="AA28" s="304"/>
      <c r="AB28" s="303"/>
      <c r="AC28" s="303"/>
      <c r="AD28" s="303"/>
      <c r="AE28" s="304"/>
      <c r="AF28" s="304"/>
      <c r="AG28" s="304"/>
      <c r="AH28" s="303"/>
      <c r="AI28" s="303"/>
      <c r="AJ28" s="303"/>
      <c r="AK28" s="304"/>
      <c r="AL28" s="304"/>
      <c r="AM28" s="304"/>
      <c r="AN28" s="303"/>
      <c r="AO28" s="303"/>
      <c r="AP28" s="303"/>
      <c r="AQ28" s="304"/>
      <c r="AR28" s="304"/>
      <c r="AS28" s="304"/>
      <c r="AT28" s="303"/>
      <c r="AU28" s="303"/>
      <c r="AV28" s="303"/>
      <c r="AW28" s="304"/>
      <c r="AX28" s="304"/>
      <c r="AY28" s="304"/>
      <c r="AZ28" s="303"/>
      <c r="BA28" s="303"/>
      <c r="BB28" s="303"/>
      <c r="BC28" s="304"/>
      <c r="BD28" s="304"/>
      <c r="BE28" s="304"/>
      <c r="BF28" s="303"/>
      <c r="BG28" s="303"/>
      <c r="BH28" s="303"/>
      <c r="BI28" s="304"/>
      <c r="BJ28" s="304"/>
      <c r="BK28" s="304"/>
      <c r="BL28" s="303"/>
      <c r="BM28" s="303"/>
      <c r="BN28" s="303"/>
      <c r="BO28" s="304"/>
      <c r="BP28" s="304"/>
      <c r="BQ28" s="304"/>
      <c r="BR28" s="305"/>
      <c r="BS28" s="305"/>
      <c r="BT28" s="305"/>
      <c r="BU28" s="304"/>
      <c r="BV28" s="304"/>
      <c r="BW28" s="304"/>
      <c r="BX28" s="303"/>
      <c r="BY28" s="303"/>
      <c r="BZ28" s="303"/>
      <c r="CA28" s="304"/>
      <c r="CB28" s="304"/>
      <c r="CC28" s="304"/>
      <c r="CD28" s="303"/>
      <c r="CE28" s="303"/>
      <c r="CF28" s="303"/>
      <c r="CG28" s="304"/>
      <c r="CH28" s="304"/>
      <c r="CI28" s="304"/>
      <c r="CJ28" s="303"/>
      <c r="CK28" s="303"/>
      <c r="CL28" s="303"/>
      <c r="CM28" s="304"/>
      <c r="CN28" s="304"/>
      <c r="CO28" s="304"/>
      <c r="CP28" s="303"/>
      <c r="CQ28" s="303"/>
      <c r="CR28" s="303"/>
      <c r="CS28" s="304"/>
      <c r="CT28" s="304"/>
      <c r="CU28" s="304"/>
      <c r="CV28" s="303"/>
      <c r="CW28" s="303"/>
      <c r="CX28" s="303"/>
      <c r="CY28" s="304"/>
      <c r="CZ28" s="304"/>
      <c r="DA28" s="304"/>
      <c r="DB28" s="303"/>
      <c r="DC28" s="303"/>
      <c r="DD28" s="303"/>
      <c r="DE28" s="304"/>
      <c r="DF28" s="304"/>
      <c r="DG28" s="304"/>
      <c r="DH28" s="303"/>
      <c r="DI28" s="303"/>
      <c r="DJ28" s="303"/>
      <c r="DK28" s="304"/>
      <c r="DL28" s="304"/>
      <c r="DM28" s="304"/>
      <c r="DN28" s="303"/>
      <c r="DO28" s="303"/>
      <c r="DP28" s="303"/>
      <c r="DQ28" s="304"/>
      <c r="DR28" s="304"/>
      <c r="DS28" s="304"/>
      <c r="DT28" s="303"/>
      <c r="DU28" s="303"/>
      <c r="DV28" s="303"/>
      <c r="DW28" s="304"/>
      <c r="DX28" s="304"/>
      <c r="DY28" s="304"/>
      <c r="DZ28" s="303"/>
      <c r="EA28" s="303"/>
      <c r="EB28" s="303"/>
      <c r="EC28" s="304"/>
      <c r="ED28" s="304"/>
      <c r="EE28" s="304"/>
      <c r="EF28" s="303"/>
      <c r="EG28" s="303"/>
      <c r="EH28" s="303"/>
      <c r="EI28" s="304"/>
      <c r="EJ28" s="304"/>
      <c r="EK28" s="304"/>
      <c r="EL28" s="303"/>
      <c r="EM28" s="303">
        <v>0.21916311999999999</v>
      </c>
      <c r="EN28" s="303"/>
      <c r="EO28" s="304"/>
      <c r="EP28" s="304">
        <v>0.25676386000000001</v>
      </c>
      <c r="EQ28" s="304"/>
      <c r="ER28" s="303"/>
      <c r="ES28" s="303">
        <v>0.18105861999999998</v>
      </c>
      <c r="ET28" s="303"/>
      <c r="EU28" s="304"/>
      <c r="EV28" s="304">
        <v>0.11030875000000001</v>
      </c>
      <c r="EW28" s="304"/>
      <c r="EX28" s="306"/>
      <c r="EY28" s="315">
        <v>0.12350749999999999</v>
      </c>
      <c r="EZ28" s="315"/>
      <c r="FA28" s="314"/>
      <c r="FB28" s="314">
        <v>6.5820459999999997E-2</v>
      </c>
      <c r="FC28" s="314"/>
      <c r="FD28" s="315"/>
      <c r="FE28" s="315">
        <v>0.17076627999999999</v>
      </c>
      <c r="FF28" s="306"/>
      <c r="FG28" s="304"/>
      <c r="FH28" s="304">
        <v>0.18398166000000002</v>
      </c>
      <c r="FI28" s="304"/>
      <c r="FJ28" s="306"/>
      <c r="FK28" s="315">
        <v>0.15385404305595912</v>
      </c>
      <c r="FL28" s="315"/>
      <c r="FM28" s="314"/>
      <c r="FN28" s="314">
        <v>0.18920052780557814</v>
      </c>
      <c r="FO28" s="314"/>
      <c r="FP28" s="306"/>
      <c r="FQ28" s="315">
        <v>6.6588366407592525E-2</v>
      </c>
      <c r="FR28" s="315"/>
      <c r="FS28" s="314"/>
      <c r="FT28" s="314">
        <v>0.16543139637832857</v>
      </c>
      <c r="FU28" s="314"/>
    </row>
    <row r="29" spans="1:177" s="284" customFormat="1" ht="13.9" customHeight="1" x14ac:dyDescent="0.2">
      <c r="F29" s="272"/>
      <c r="G29" s="272" t="s">
        <v>503</v>
      </c>
      <c r="H29" s="276"/>
      <c r="I29" s="276"/>
      <c r="J29" s="303"/>
      <c r="K29" s="303"/>
      <c r="L29" s="303"/>
      <c r="M29" s="304"/>
      <c r="N29" s="304"/>
      <c r="O29" s="304"/>
      <c r="P29" s="303"/>
      <c r="Q29" s="303"/>
      <c r="R29" s="303"/>
      <c r="S29" s="304"/>
      <c r="T29" s="304"/>
      <c r="U29" s="304"/>
      <c r="V29" s="303"/>
      <c r="W29" s="303"/>
      <c r="X29" s="303"/>
      <c r="Y29" s="304"/>
      <c r="Z29" s="304"/>
      <c r="AA29" s="304"/>
      <c r="AB29" s="303"/>
      <c r="AC29" s="303"/>
      <c r="AD29" s="303"/>
      <c r="AE29" s="304"/>
      <c r="AF29" s="304"/>
      <c r="AG29" s="304"/>
      <c r="AH29" s="303"/>
      <c r="AI29" s="303"/>
      <c r="AJ29" s="303"/>
      <c r="AK29" s="304"/>
      <c r="AL29" s="304"/>
      <c r="AM29" s="304"/>
      <c r="AN29" s="303"/>
      <c r="AO29" s="303"/>
      <c r="AP29" s="303"/>
      <c r="AQ29" s="304"/>
      <c r="AR29" s="304"/>
      <c r="AS29" s="304"/>
      <c r="AT29" s="303"/>
      <c r="AU29" s="303"/>
      <c r="AV29" s="303"/>
      <c r="AW29" s="304"/>
      <c r="AX29" s="304"/>
      <c r="AY29" s="304"/>
      <c r="AZ29" s="303"/>
      <c r="BA29" s="303"/>
      <c r="BB29" s="303"/>
      <c r="BC29" s="304"/>
      <c r="BD29" s="304"/>
      <c r="BE29" s="304"/>
      <c r="BF29" s="303"/>
      <c r="BG29" s="303"/>
      <c r="BH29" s="303"/>
      <c r="BI29" s="304"/>
      <c r="BJ29" s="304"/>
      <c r="BK29" s="304"/>
      <c r="BL29" s="303"/>
      <c r="BM29" s="303"/>
      <c r="BN29" s="303"/>
      <c r="BO29" s="304"/>
      <c r="BP29" s="304"/>
      <c r="BQ29" s="304"/>
      <c r="BR29" s="305"/>
      <c r="BS29" s="305"/>
      <c r="BT29" s="305"/>
      <c r="BU29" s="304"/>
      <c r="BV29" s="304"/>
      <c r="BW29" s="304"/>
      <c r="BX29" s="303"/>
      <c r="BY29" s="303"/>
      <c r="BZ29" s="303"/>
      <c r="CA29" s="304"/>
      <c r="CB29" s="304"/>
      <c r="CC29" s="304"/>
      <c r="CD29" s="303"/>
      <c r="CE29" s="303"/>
      <c r="CF29" s="303"/>
      <c r="CG29" s="304"/>
      <c r="CH29" s="304"/>
      <c r="CI29" s="304"/>
      <c r="CJ29" s="303"/>
      <c r="CK29" s="303"/>
      <c r="CL29" s="303"/>
      <c r="CM29" s="304"/>
      <c r="CN29" s="304"/>
      <c r="CO29" s="304"/>
      <c r="CP29" s="303"/>
      <c r="CQ29" s="303"/>
      <c r="CR29" s="303"/>
      <c r="CS29" s="304"/>
      <c r="CT29" s="304"/>
      <c r="CU29" s="304"/>
      <c r="CV29" s="303"/>
      <c r="CW29" s="303"/>
      <c r="CX29" s="303"/>
      <c r="CY29" s="304"/>
      <c r="CZ29" s="304"/>
      <c r="DA29" s="304"/>
      <c r="DB29" s="303"/>
      <c r="DC29" s="303"/>
      <c r="DD29" s="303"/>
      <c r="DE29" s="304"/>
      <c r="DF29" s="304"/>
      <c r="DG29" s="304"/>
      <c r="DH29" s="303"/>
      <c r="DI29" s="303"/>
      <c r="DJ29" s="303"/>
      <c r="DK29" s="304"/>
      <c r="DL29" s="304"/>
      <c r="DM29" s="304"/>
      <c r="DN29" s="303"/>
      <c r="DO29" s="303"/>
      <c r="DP29" s="303"/>
      <c r="DQ29" s="304"/>
      <c r="DR29" s="304"/>
      <c r="DS29" s="304"/>
      <c r="DT29" s="303"/>
      <c r="DU29" s="303"/>
      <c r="DV29" s="303"/>
      <c r="DW29" s="304"/>
      <c r="DX29" s="304"/>
      <c r="DY29" s="304"/>
      <c r="DZ29" s="303"/>
      <c r="EA29" s="303"/>
      <c r="EB29" s="303"/>
      <c r="EC29" s="304"/>
      <c r="ED29" s="304"/>
      <c r="EE29" s="304"/>
      <c r="EF29" s="303"/>
      <c r="EG29" s="303"/>
      <c r="EH29" s="303"/>
      <c r="EI29" s="304"/>
      <c r="EJ29" s="304"/>
      <c r="EK29" s="304"/>
      <c r="EL29" s="303"/>
      <c r="EM29" s="303">
        <v>7.6590160999999988</v>
      </c>
      <c r="EN29" s="303"/>
      <c r="EO29" s="304"/>
      <c r="EP29" s="304">
        <v>7.0366543999999998</v>
      </c>
      <c r="EQ29" s="304"/>
      <c r="ER29" s="303"/>
      <c r="ES29" s="303">
        <v>9.6392942399999999</v>
      </c>
      <c r="ET29" s="303"/>
      <c r="EU29" s="304"/>
      <c r="EV29" s="304">
        <v>8.6745237999999993</v>
      </c>
      <c r="EW29" s="304"/>
      <c r="EX29" s="306"/>
      <c r="EY29" s="306">
        <v>18.814869079999998</v>
      </c>
      <c r="EZ29" s="306"/>
      <c r="FA29" s="307"/>
      <c r="FB29" s="307">
        <v>13.420483239999999</v>
      </c>
      <c r="FC29" s="307"/>
      <c r="FD29" s="306"/>
      <c r="FE29" s="306">
        <v>33.717742450000003</v>
      </c>
      <c r="FF29" s="306"/>
      <c r="FG29" s="304"/>
      <c r="FH29" s="304">
        <v>28.585566630000002</v>
      </c>
      <c r="FI29" s="304"/>
      <c r="FJ29" s="306"/>
      <c r="FK29" s="306">
        <v>36.306260149038906</v>
      </c>
      <c r="FL29" s="306"/>
      <c r="FM29" s="307"/>
      <c r="FN29" s="307">
        <v>28.545414889745764</v>
      </c>
      <c r="FO29" s="307"/>
      <c r="FP29" s="306"/>
      <c r="FQ29" s="306">
        <v>40.264595523126196</v>
      </c>
      <c r="FR29" s="306"/>
      <c r="FS29" s="307"/>
      <c r="FT29" s="307">
        <v>37.639810736283842</v>
      </c>
      <c r="FU29" s="307"/>
    </row>
    <row r="30" spans="1:177" s="284" customFormat="1" ht="13.9" customHeight="1" x14ac:dyDescent="0.2">
      <c r="F30" s="272" t="s">
        <v>504</v>
      </c>
      <c r="H30" s="276"/>
      <c r="I30" s="276"/>
      <c r="J30" s="303">
        <v>12.91</v>
      </c>
      <c r="K30" s="303">
        <v>2.08</v>
      </c>
      <c r="L30" s="303">
        <v>10.83</v>
      </c>
      <c r="M30" s="304">
        <v>12.739999999999998</v>
      </c>
      <c r="N30" s="304">
        <v>2.2000000000000002</v>
      </c>
      <c r="O30" s="304">
        <v>10.54</v>
      </c>
      <c r="P30" s="303">
        <v>11.55</v>
      </c>
      <c r="Q30" s="303">
        <v>1.94</v>
      </c>
      <c r="R30" s="303">
        <v>9.6100000000000012</v>
      </c>
      <c r="S30" s="304">
        <v>12.3</v>
      </c>
      <c r="T30" s="304">
        <v>2.39</v>
      </c>
      <c r="U30" s="304">
        <v>9.91</v>
      </c>
      <c r="V30" s="303">
        <v>13.250000690710085</v>
      </c>
      <c r="W30" s="303">
        <v>6.0000002477547039</v>
      </c>
      <c r="X30" s="303">
        <v>7.2500004429553808</v>
      </c>
      <c r="Y30" s="304">
        <v>14.099999999999998</v>
      </c>
      <c r="Z30" s="304">
        <v>7.6000000000000005</v>
      </c>
      <c r="AA30" s="304">
        <v>6.4999999999999973</v>
      </c>
      <c r="AB30" s="303">
        <v>13.600002662016323</v>
      </c>
      <c r="AC30" s="303">
        <v>6.100001120618205</v>
      </c>
      <c r="AD30" s="303">
        <v>7.5000015413981176</v>
      </c>
      <c r="AE30" s="304">
        <v>14.200001634564071</v>
      </c>
      <c r="AF30" s="304">
        <v>6.3200005266928674</v>
      </c>
      <c r="AG30" s="304">
        <v>7.8800011078712036</v>
      </c>
      <c r="AH30" s="303">
        <v>13.919999999999998</v>
      </c>
      <c r="AI30" s="303">
        <v>6.85</v>
      </c>
      <c r="AJ30" s="303">
        <v>7.0699999999999985</v>
      </c>
      <c r="AK30" s="304">
        <v>14.55</v>
      </c>
      <c r="AL30" s="304">
        <v>8.58</v>
      </c>
      <c r="AM30" s="304">
        <v>5.9700000000000006</v>
      </c>
      <c r="AN30" s="303">
        <v>14.200000932197954</v>
      </c>
      <c r="AO30" s="303">
        <v>6.4200003290110423</v>
      </c>
      <c r="AP30" s="303">
        <v>7.7800006031869113</v>
      </c>
      <c r="AQ30" s="304">
        <v>15.45</v>
      </c>
      <c r="AR30" s="304">
        <v>6.92</v>
      </c>
      <c r="AS30" s="304">
        <v>8.5299999999999994</v>
      </c>
      <c r="AT30" s="303">
        <v>15.700000000000001</v>
      </c>
      <c r="AU30" s="303">
        <v>6.6400000000000006</v>
      </c>
      <c r="AV30" s="303">
        <v>9.06</v>
      </c>
      <c r="AW30" s="304">
        <v>13.799999999999999</v>
      </c>
      <c r="AX30" s="304">
        <v>9.6</v>
      </c>
      <c r="AY30" s="304">
        <v>4.1999999999999993</v>
      </c>
      <c r="AZ30" s="303">
        <v>15.100000163204685</v>
      </c>
      <c r="BA30" s="303">
        <v>6.8000000782022454</v>
      </c>
      <c r="BB30" s="303">
        <v>8.3000000850024396</v>
      </c>
      <c r="BC30" s="304">
        <v>15.89</v>
      </c>
      <c r="BD30" s="304">
        <v>7.17</v>
      </c>
      <c r="BE30" s="304">
        <v>8.7200000000000006</v>
      </c>
      <c r="BF30" s="303">
        <v>16.97</v>
      </c>
      <c r="BG30" s="303">
        <v>6.33</v>
      </c>
      <c r="BH30" s="303">
        <v>10.639999999999999</v>
      </c>
      <c r="BI30" s="304">
        <v>14.390000676750535</v>
      </c>
      <c r="BJ30" s="304">
        <v>9.5200005025739749</v>
      </c>
      <c r="BK30" s="304">
        <v>4.8700001741765604</v>
      </c>
      <c r="BL30" s="303">
        <v>16.14</v>
      </c>
      <c r="BM30" s="303">
        <v>6.5799999999999992</v>
      </c>
      <c r="BN30" s="303">
        <v>9.5600000000000023</v>
      </c>
      <c r="BO30" s="304">
        <v>15.66607142857143</v>
      </c>
      <c r="BP30" s="304">
        <v>6.7728571428571502</v>
      </c>
      <c r="BQ30" s="304">
        <v>8.8932142857142793</v>
      </c>
      <c r="BR30" s="305">
        <v>17.250000709191589</v>
      </c>
      <c r="BS30" s="305">
        <v>8.1200003297885797</v>
      </c>
      <c r="BT30" s="305">
        <v>9.1300003794030093</v>
      </c>
      <c r="BU30" s="304">
        <v>16.619997736718535</v>
      </c>
      <c r="BV30" s="304">
        <v>7.6171418076735424</v>
      </c>
      <c r="BW30" s="304">
        <v>9.0028559290449923</v>
      </c>
      <c r="BX30" s="303">
        <v>17.700000175061458</v>
      </c>
      <c r="BY30" s="303">
        <v>7.7371429258958102</v>
      </c>
      <c r="BZ30" s="303">
        <v>9.9628572491656477</v>
      </c>
      <c r="CA30" s="304">
        <v>17.2</v>
      </c>
      <c r="CB30" s="304">
        <v>8.32</v>
      </c>
      <c r="CC30" s="304">
        <v>8.879999999999999</v>
      </c>
      <c r="CD30" s="303">
        <v>18.350000000000001</v>
      </c>
      <c r="CE30" s="303">
        <v>8.42</v>
      </c>
      <c r="CF30" s="303">
        <v>9.9300000000000015</v>
      </c>
      <c r="CG30" s="304">
        <v>17.7</v>
      </c>
      <c r="CH30" s="304">
        <v>7.88</v>
      </c>
      <c r="CI30" s="304">
        <v>9.82</v>
      </c>
      <c r="CJ30" s="303">
        <v>18.8</v>
      </c>
      <c r="CK30" s="303">
        <v>7.9999999999999991</v>
      </c>
      <c r="CL30" s="303">
        <v>10.8</v>
      </c>
      <c r="CM30" s="304">
        <v>10.32</v>
      </c>
      <c r="CN30" s="304">
        <v>8.6</v>
      </c>
      <c r="CO30" s="304">
        <v>1.7200000000000006</v>
      </c>
      <c r="CP30" s="303">
        <v>18.800000000000004</v>
      </c>
      <c r="CQ30" s="303">
        <v>8.69</v>
      </c>
      <c r="CR30" s="303">
        <v>10.110000000000005</v>
      </c>
      <c r="CS30" s="304">
        <v>18.100000000000001</v>
      </c>
      <c r="CT30" s="304">
        <v>8.1499999999999986</v>
      </c>
      <c r="CU30" s="304">
        <v>9.9500000000000028</v>
      </c>
      <c r="CV30" s="303">
        <v>20.100000000000001</v>
      </c>
      <c r="CW30" s="303">
        <v>7.5</v>
      </c>
      <c r="CX30" s="303">
        <v>12.600000000000001</v>
      </c>
      <c r="CY30" s="304">
        <v>10.32</v>
      </c>
      <c r="CZ30" s="304">
        <v>11</v>
      </c>
      <c r="DA30" s="304">
        <v>-0.67999999999999972</v>
      </c>
      <c r="DB30" s="303">
        <v>1.2</v>
      </c>
      <c r="DC30" s="303">
        <v>5.3000000000000007</v>
      </c>
      <c r="DD30" s="303">
        <v>-4.1000000000000005</v>
      </c>
      <c r="DE30" s="304">
        <v>1.3000000554837894</v>
      </c>
      <c r="DF30" s="304">
        <v>0.68000002902228984</v>
      </c>
      <c r="DG30" s="304">
        <v>0.62000002646149954</v>
      </c>
      <c r="DH30" s="303">
        <v>3.9999999999999996</v>
      </c>
      <c r="DI30" s="303">
        <v>1.3</v>
      </c>
      <c r="DJ30" s="303">
        <v>2.6999999999999993</v>
      </c>
      <c r="DK30" s="304">
        <v>0.5</v>
      </c>
      <c r="DL30" s="304">
        <v>3.2</v>
      </c>
      <c r="DM30" s="304">
        <v>-2.7</v>
      </c>
      <c r="DN30" s="303">
        <v>0.75000000000000011</v>
      </c>
      <c r="DO30" s="303">
        <v>4</v>
      </c>
      <c r="DP30" s="303">
        <v>-3.25</v>
      </c>
      <c r="DQ30" s="304">
        <v>3.2</v>
      </c>
      <c r="DR30" s="304">
        <v>1.97</v>
      </c>
      <c r="DS30" s="304">
        <v>1.2300000000000002</v>
      </c>
      <c r="DT30" s="303">
        <v>2.3000000000000003</v>
      </c>
      <c r="DU30" s="303">
        <v>2.5</v>
      </c>
      <c r="DV30" s="312">
        <v>-0.19999999999999973</v>
      </c>
      <c r="DW30" s="304">
        <v>3.4</v>
      </c>
      <c r="DX30" s="304">
        <v>2.5</v>
      </c>
      <c r="DY30" s="304">
        <v>0.89999999999999991</v>
      </c>
      <c r="DZ30" s="303">
        <v>0.57021671886890579</v>
      </c>
      <c r="EA30" s="303">
        <v>3.8680003387829913</v>
      </c>
      <c r="EB30" s="303">
        <v>-3.2977836199140853</v>
      </c>
      <c r="EC30" s="304">
        <v>3.0495997968227377</v>
      </c>
      <c r="ED30" s="304">
        <v>1.9049898898555933</v>
      </c>
      <c r="EE30" s="304">
        <v>1.1446099069671445</v>
      </c>
      <c r="EF30" s="303">
        <v>2.1919</v>
      </c>
      <c r="EG30" s="303">
        <v>2.4174999999999995</v>
      </c>
      <c r="EH30" s="303">
        <v>-0.22559999999999958</v>
      </c>
      <c r="EI30" s="304">
        <v>3.2402000000000002</v>
      </c>
      <c r="EJ30" s="304">
        <v>2.4175</v>
      </c>
      <c r="EK30" s="304">
        <v>0.82270000000000021</v>
      </c>
      <c r="EL30" s="303">
        <v>58.20971222</v>
      </c>
      <c r="EM30" s="303">
        <v>28.263762270000001</v>
      </c>
      <c r="EN30" s="303">
        <v>29.945949949999999</v>
      </c>
      <c r="EO30" s="304">
        <v>64.6865284</v>
      </c>
      <c r="EP30" s="304">
        <v>28.497292449999996</v>
      </c>
      <c r="EQ30" s="304">
        <v>36.189235950000004</v>
      </c>
      <c r="ER30" s="303">
        <v>151.21082297999996</v>
      </c>
      <c r="ES30" s="303">
        <v>20.846445930000002</v>
      </c>
      <c r="ET30" s="303">
        <v>130.36437704999997</v>
      </c>
      <c r="EU30" s="304">
        <v>80.694885170000006</v>
      </c>
      <c r="EV30" s="304">
        <v>33.008607730000001</v>
      </c>
      <c r="EW30" s="304">
        <v>47.686277440000005</v>
      </c>
      <c r="EX30" s="306">
        <v>60.362147849999999</v>
      </c>
      <c r="EY30" s="306">
        <v>23.549835999999999</v>
      </c>
      <c r="EZ30" s="306">
        <v>36.81231185</v>
      </c>
      <c r="FA30" s="307">
        <v>56.780421050000001</v>
      </c>
      <c r="FB30" s="307">
        <v>40.735671830000001</v>
      </c>
      <c r="FC30" s="307">
        <v>16.04474922</v>
      </c>
      <c r="FD30" s="306">
        <v>51.753779189999989</v>
      </c>
      <c r="FE30" s="306">
        <v>44.257957029999986</v>
      </c>
      <c r="FF30" s="306">
        <v>7.495822160000003</v>
      </c>
      <c r="FG30" s="304">
        <v>43.344864749999999</v>
      </c>
      <c r="FH30" s="304">
        <v>18.043760370000001</v>
      </c>
      <c r="FI30" s="304">
        <v>25.301104379999998</v>
      </c>
      <c r="FJ30" s="306">
        <v>33.576125009609115</v>
      </c>
      <c r="FK30" s="306">
        <v>12.778430991398055</v>
      </c>
      <c r="FL30" s="306">
        <v>20.797694018211061</v>
      </c>
      <c r="FM30" s="307">
        <v>34.227188064795712</v>
      </c>
      <c r="FN30" s="307">
        <v>11.146631772291137</v>
      </c>
      <c r="FO30" s="307">
        <v>23.080556292504575</v>
      </c>
      <c r="FP30" s="306">
        <v>34.053119495095871</v>
      </c>
      <c r="FQ30" s="306">
        <v>6.800734463376207</v>
      </c>
      <c r="FR30" s="306">
        <v>27.252385031719662</v>
      </c>
      <c r="FS30" s="307">
        <v>30.545654037352264</v>
      </c>
      <c r="FT30" s="307">
        <v>5.8385205693062705</v>
      </c>
      <c r="FU30" s="307">
        <v>24.707133468045996</v>
      </c>
    </row>
    <row r="31" spans="1:177" s="284" customFormat="1" ht="13.9" customHeight="1" x14ac:dyDescent="0.2">
      <c r="F31" s="272" t="s">
        <v>505</v>
      </c>
      <c r="H31" s="276"/>
      <c r="I31" s="276"/>
      <c r="J31" s="303">
        <v>26.490000000000006</v>
      </c>
      <c r="K31" s="303">
        <v>12.926821338872401</v>
      </c>
      <c r="L31" s="303">
        <v>13.563178661127605</v>
      </c>
      <c r="M31" s="304">
        <v>27.3</v>
      </c>
      <c r="N31" s="304">
        <v>15.572713537384892</v>
      </c>
      <c r="O31" s="304">
        <v>11.727286462615108</v>
      </c>
      <c r="P31" s="303">
        <v>26.400000000000002</v>
      </c>
      <c r="Q31" s="303">
        <v>16.600000000000001</v>
      </c>
      <c r="R31" s="303">
        <v>9.8000000000000007</v>
      </c>
      <c r="S31" s="304">
        <v>26.82</v>
      </c>
      <c r="T31" s="304">
        <v>18.75</v>
      </c>
      <c r="U31" s="304">
        <v>8.07</v>
      </c>
      <c r="V31" s="303">
        <v>25.760001243278154</v>
      </c>
      <c r="W31" s="303">
        <v>19.08000093095707</v>
      </c>
      <c r="X31" s="303">
        <v>6.6800003123210843</v>
      </c>
      <c r="Y31" s="304">
        <v>27.439999999999998</v>
      </c>
      <c r="Z31" s="304">
        <v>22.6</v>
      </c>
      <c r="AA31" s="304">
        <v>4.8399999999999963</v>
      </c>
      <c r="AB31" s="303">
        <v>27.840005320522337</v>
      </c>
      <c r="AC31" s="303">
        <v>20.730003873848716</v>
      </c>
      <c r="AD31" s="303">
        <v>7.1100014466736212</v>
      </c>
      <c r="AE31" s="304">
        <v>28.060003298187056</v>
      </c>
      <c r="AF31" s="304">
        <v>22.990002833244386</v>
      </c>
      <c r="AG31" s="304">
        <v>5.0700004649426695</v>
      </c>
      <c r="AH31" s="303">
        <v>27.5</v>
      </c>
      <c r="AI31" s="303">
        <v>20.149999999999999</v>
      </c>
      <c r="AJ31" s="303">
        <v>7.3500000000000014</v>
      </c>
      <c r="AK31" s="304">
        <v>28.7</v>
      </c>
      <c r="AL31" s="304">
        <v>23.7</v>
      </c>
      <c r="AM31" s="304">
        <v>5</v>
      </c>
      <c r="AN31" s="303">
        <v>29.720001804077214</v>
      </c>
      <c r="AO31" s="303">
        <v>21.170001242930603</v>
      </c>
      <c r="AP31" s="303">
        <v>8.5500005611466108</v>
      </c>
      <c r="AQ31" s="304">
        <v>29.24</v>
      </c>
      <c r="AR31" s="304">
        <v>24.5</v>
      </c>
      <c r="AS31" s="304">
        <v>4.7399999999999984</v>
      </c>
      <c r="AT31" s="303">
        <v>27.8</v>
      </c>
      <c r="AU31" s="303">
        <v>21.22</v>
      </c>
      <c r="AV31" s="303">
        <v>6.5800000000000018</v>
      </c>
      <c r="AW31" s="304">
        <v>31.800000000000004</v>
      </c>
      <c r="AX31" s="304">
        <v>24.05</v>
      </c>
      <c r="AY31" s="304">
        <v>7.7500000000000036</v>
      </c>
      <c r="AZ31" s="303">
        <v>29.790000334909617</v>
      </c>
      <c r="BA31" s="303">
        <v>21.850000266907664</v>
      </c>
      <c r="BB31" s="303">
        <v>7.9400000680019538</v>
      </c>
      <c r="BC31" s="304">
        <v>29.67</v>
      </c>
      <c r="BD31" s="304">
        <v>24.880000000000003</v>
      </c>
      <c r="BE31" s="304">
        <v>4.7899999999999991</v>
      </c>
      <c r="BF31" s="303">
        <v>29.33</v>
      </c>
      <c r="BG31" s="303">
        <v>22.880000000000003</v>
      </c>
      <c r="BH31" s="303">
        <v>6.4499999999999957</v>
      </c>
      <c r="BI31" s="304">
        <v>30.200001417493549</v>
      </c>
      <c r="BJ31" s="304">
        <v>23.150001050461995</v>
      </c>
      <c r="BK31" s="304">
        <v>7.0500003670315543</v>
      </c>
      <c r="BL31" s="303">
        <v>30.34</v>
      </c>
      <c r="BM31" s="303">
        <v>21.96</v>
      </c>
      <c r="BN31" s="303">
        <v>8.379999999999999</v>
      </c>
      <c r="BO31" s="304">
        <v>31.131428571428597</v>
      </c>
      <c r="BP31" s="304">
        <v>21.42785714285715</v>
      </c>
      <c r="BQ31" s="304">
        <v>9.7035714285714469</v>
      </c>
      <c r="BR31" s="305">
        <v>31.481072742015051</v>
      </c>
      <c r="BS31" s="305">
        <v>25.200000971585354</v>
      </c>
      <c r="BT31" s="305">
        <v>6.2810717704296977</v>
      </c>
      <c r="BU31" s="304">
        <v>30.92999574129076</v>
      </c>
      <c r="BV31" s="304">
        <v>25.209639332473813</v>
      </c>
      <c r="BW31" s="304">
        <v>5.7203564088169472</v>
      </c>
      <c r="BX31" s="303">
        <v>30.431071729736448</v>
      </c>
      <c r="BY31" s="303">
        <v>21.900000210667177</v>
      </c>
      <c r="BZ31" s="303">
        <v>8.5310715190692719</v>
      </c>
      <c r="CA31" s="304">
        <v>30.4310714285714</v>
      </c>
      <c r="CB31" s="304">
        <v>22.109642857142859</v>
      </c>
      <c r="CC31" s="304">
        <v>8.321428571428541</v>
      </c>
      <c r="CD31" s="303">
        <v>33.049999999999997</v>
      </c>
      <c r="CE31" s="303">
        <v>25.95</v>
      </c>
      <c r="CF31" s="303">
        <v>7.0999999999999979</v>
      </c>
      <c r="CG31" s="304">
        <v>32.700000000000003</v>
      </c>
      <c r="CH31" s="304">
        <v>25.98</v>
      </c>
      <c r="CI31" s="304">
        <v>6.7200000000000024</v>
      </c>
      <c r="CJ31" s="303">
        <v>32.1</v>
      </c>
      <c r="CK31" s="303">
        <v>22.6</v>
      </c>
      <c r="CL31" s="303">
        <v>9.5</v>
      </c>
      <c r="CM31" s="304">
        <v>32.150000000000006</v>
      </c>
      <c r="CN31" s="304">
        <v>22.85</v>
      </c>
      <c r="CO31" s="304">
        <v>9.3000000000000043</v>
      </c>
      <c r="CP31" s="303">
        <v>34.69</v>
      </c>
      <c r="CQ31" s="303">
        <v>26.900000000000002</v>
      </c>
      <c r="CR31" s="303">
        <v>7.7899999999999956</v>
      </c>
      <c r="CS31" s="304">
        <v>36.690000000000005</v>
      </c>
      <c r="CT31" s="304">
        <v>26.9</v>
      </c>
      <c r="CU31" s="304">
        <v>9.7900000000000063</v>
      </c>
      <c r="CV31" s="303">
        <v>41.1</v>
      </c>
      <c r="CW31" s="303">
        <v>28.5</v>
      </c>
      <c r="CX31" s="303">
        <v>12.600000000000001</v>
      </c>
      <c r="CY31" s="304">
        <v>25</v>
      </c>
      <c r="CZ31" s="304">
        <v>19.5</v>
      </c>
      <c r="DA31" s="304">
        <v>5.5</v>
      </c>
      <c r="DB31" s="303">
        <v>10</v>
      </c>
      <c r="DC31" s="303">
        <v>27.05</v>
      </c>
      <c r="DD31" s="303">
        <v>-17.05</v>
      </c>
      <c r="DE31" s="304">
        <v>12.00000064019757</v>
      </c>
      <c r="DF31" s="304">
        <v>18.800000802380957</v>
      </c>
      <c r="DG31" s="304">
        <v>-6.8000001621833874</v>
      </c>
      <c r="DH31" s="303">
        <v>7.9</v>
      </c>
      <c r="DI31" s="303">
        <v>13</v>
      </c>
      <c r="DJ31" s="303">
        <v>-5.0999999999999996</v>
      </c>
      <c r="DK31" s="304">
        <v>9.5</v>
      </c>
      <c r="DL31" s="304">
        <v>23</v>
      </c>
      <c r="DM31" s="304">
        <v>-13.5</v>
      </c>
      <c r="DN31" s="303">
        <v>10.3</v>
      </c>
      <c r="DO31" s="303">
        <v>10.8</v>
      </c>
      <c r="DP31" s="303">
        <v>-0.5</v>
      </c>
      <c r="DQ31" s="304">
        <v>2.85</v>
      </c>
      <c r="DR31" s="304">
        <v>7.9</v>
      </c>
      <c r="DS31" s="304">
        <v>-5.0500000000000007</v>
      </c>
      <c r="DT31" s="303">
        <v>3.2</v>
      </c>
      <c r="DU31" s="303">
        <v>9</v>
      </c>
      <c r="DV31" s="303">
        <v>-5.8</v>
      </c>
      <c r="DW31" s="304">
        <v>4</v>
      </c>
      <c r="DX31" s="304">
        <v>9.5</v>
      </c>
      <c r="DY31" s="304">
        <v>-5.5</v>
      </c>
      <c r="DZ31" s="303">
        <v>9.4760008508432758</v>
      </c>
      <c r="EA31" s="303">
        <v>11.355001128661868</v>
      </c>
      <c r="EB31" s="303">
        <v>-1.8790002778185926</v>
      </c>
      <c r="EC31" s="304">
        <v>2.6219998271055127</v>
      </c>
      <c r="ED31" s="304">
        <v>7.583999498343406</v>
      </c>
      <c r="EE31" s="304">
        <v>-4.9619996712378933</v>
      </c>
      <c r="EF31" s="303">
        <v>2.944</v>
      </c>
      <c r="EG31" s="303">
        <v>8.5139999999999993</v>
      </c>
      <c r="EH31" s="303">
        <v>-5.5699999999999994</v>
      </c>
      <c r="EI31" s="304">
        <v>3.68</v>
      </c>
      <c r="EJ31" s="304">
        <v>8.9489999999999998</v>
      </c>
      <c r="EK31" s="304">
        <v>-5.2690000000000001</v>
      </c>
      <c r="EL31" s="303">
        <v>8.5731005699999994</v>
      </c>
      <c r="EM31" s="303">
        <v>7.2907629100000007</v>
      </c>
      <c r="EN31" s="303">
        <v>1.2823376599999987</v>
      </c>
      <c r="EO31" s="304">
        <v>7.8025675499999991</v>
      </c>
      <c r="EP31" s="304">
        <v>13.689367870000002</v>
      </c>
      <c r="EQ31" s="304">
        <v>-5.8868003200000025</v>
      </c>
      <c r="ER31" s="303">
        <v>10.689975229999998</v>
      </c>
      <c r="ES31" s="303">
        <v>16.718309210000001</v>
      </c>
      <c r="ET31" s="303">
        <v>-6.0283339800000029</v>
      </c>
      <c r="EU31" s="304">
        <v>7.5970388599999996</v>
      </c>
      <c r="EV31" s="304">
        <v>13.412950759999998</v>
      </c>
      <c r="EW31" s="304">
        <v>-5.8159118999999979</v>
      </c>
      <c r="EX31" s="306">
        <v>7.3683567199999995</v>
      </c>
      <c r="EY31" s="306">
        <v>13.521880019999998</v>
      </c>
      <c r="EZ31" s="306">
        <v>-6.153523299999998</v>
      </c>
      <c r="FA31" s="307">
        <v>7.7058043500000011</v>
      </c>
      <c r="FB31" s="307">
        <v>15.69285738</v>
      </c>
      <c r="FC31" s="307">
        <v>-7.9870530299999984</v>
      </c>
      <c r="FD31" s="306">
        <v>3.5560206599999997</v>
      </c>
      <c r="FE31" s="306">
        <v>17.143963200000002</v>
      </c>
      <c r="FF31" s="306">
        <v>-13.587942540000002</v>
      </c>
      <c r="FG31" s="304">
        <v>5.1130087799999995</v>
      </c>
      <c r="FH31" s="304">
        <v>10.899609590000001</v>
      </c>
      <c r="FI31" s="304">
        <v>-5.7866008100000013</v>
      </c>
      <c r="FJ31" s="306">
        <v>4.4808995116352648</v>
      </c>
      <c r="FK31" s="306">
        <v>9.7292963733345452</v>
      </c>
      <c r="FL31" s="306">
        <v>-5.2483968616992804</v>
      </c>
      <c r="FM31" s="307">
        <v>4.9785099555948804</v>
      </c>
      <c r="FN31" s="307">
        <v>10.256151948708892</v>
      </c>
      <c r="FO31" s="307">
        <v>-5.2776419931140115</v>
      </c>
      <c r="FP31" s="306">
        <v>7.5928292438476372</v>
      </c>
      <c r="FQ31" s="306">
        <v>15.417645620519252</v>
      </c>
      <c r="FR31" s="306">
        <v>-7.824816376671615</v>
      </c>
      <c r="FS31" s="307">
        <v>4.1234157148750805</v>
      </c>
      <c r="FT31" s="307">
        <v>14.301107639838786</v>
      </c>
      <c r="FU31" s="307">
        <v>-10.177691924963707</v>
      </c>
    </row>
    <row r="32" spans="1:177" ht="13.9" customHeight="1" x14ac:dyDescent="0.2">
      <c r="A32" s="284"/>
      <c r="F32" s="272" t="s">
        <v>506</v>
      </c>
      <c r="J32" s="303">
        <v>58.817999999999998</v>
      </c>
      <c r="K32" s="303">
        <v>75.381168834145541</v>
      </c>
      <c r="L32" s="303">
        <v>-16.563168834145543</v>
      </c>
      <c r="M32" s="304">
        <v>57.24</v>
      </c>
      <c r="N32" s="304">
        <v>79.417152590468561</v>
      </c>
      <c r="O32" s="304">
        <v>-22.177152590468559</v>
      </c>
      <c r="P32" s="303">
        <v>61.289999999999992</v>
      </c>
      <c r="Q32" s="303">
        <v>68.163284105285044</v>
      </c>
      <c r="R32" s="303">
        <v>-6.8732841052850517</v>
      </c>
      <c r="S32" s="304">
        <v>55.08</v>
      </c>
      <c r="T32" s="304">
        <v>55.649094169676189</v>
      </c>
      <c r="U32" s="304">
        <v>-0.56909416967619109</v>
      </c>
      <c r="V32" s="303">
        <v>61.746003357751931</v>
      </c>
      <c r="W32" s="303">
        <v>85.554004092907718</v>
      </c>
      <c r="X32" s="303">
        <v>-23.808000735155787</v>
      </c>
      <c r="Y32" s="304">
        <v>58.266000000000005</v>
      </c>
      <c r="Z32" s="304">
        <v>90.444000000000003</v>
      </c>
      <c r="AA32" s="304">
        <v>-32.177999999999997</v>
      </c>
      <c r="AB32" s="303">
        <v>60.126010992957887</v>
      </c>
      <c r="AC32" s="303">
        <v>82.200015609646783</v>
      </c>
      <c r="AD32" s="303">
        <v>-22.074004616688896</v>
      </c>
      <c r="AE32" s="304">
        <v>55.206006357364522</v>
      </c>
      <c r="AF32" s="304">
        <v>69.690008676266089</v>
      </c>
      <c r="AG32" s="304">
        <v>-14.484002318901567</v>
      </c>
      <c r="AH32" s="303">
        <v>65.7</v>
      </c>
      <c r="AI32" s="303">
        <v>90.6</v>
      </c>
      <c r="AJ32" s="303">
        <v>-24.899999999999991</v>
      </c>
      <c r="AK32" s="304">
        <v>63.059999999999995</v>
      </c>
      <c r="AL32" s="304">
        <v>95.04</v>
      </c>
      <c r="AM32" s="304">
        <v>-31.980000000000011</v>
      </c>
      <c r="AN32" s="303">
        <v>65.820003937165467</v>
      </c>
      <c r="AO32" s="303">
        <v>88.224005202761276</v>
      </c>
      <c r="AP32" s="303">
        <v>-22.404001265595809</v>
      </c>
      <c r="AQ32" s="304">
        <v>61.14</v>
      </c>
      <c r="AR32" s="304">
        <v>75.69</v>
      </c>
      <c r="AS32" s="304">
        <v>-14.549999999999997</v>
      </c>
      <c r="AT32" s="303">
        <v>69.12</v>
      </c>
      <c r="AU32" s="303">
        <v>96.809999999999988</v>
      </c>
      <c r="AV32" s="303">
        <v>-27.689999999999984</v>
      </c>
      <c r="AW32" s="304">
        <v>59.483999999999995</v>
      </c>
      <c r="AX32" s="304">
        <v>100.68</v>
      </c>
      <c r="AY32" s="304">
        <v>-41.196000000000012</v>
      </c>
      <c r="AZ32" s="303">
        <v>61.248000698720055</v>
      </c>
      <c r="BA32" s="303">
        <v>96.690001175073746</v>
      </c>
      <c r="BB32" s="303">
        <v>-35.442000476353691</v>
      </c>
      <c r="BC32" s="304">
        <v>64.031999999999996</v>
      </c>
      <c r="BD32" s="304">
        <v>85.35</v>
      </c>
      <c r="BE32" s="304">
        <v>-21.317999999999998</v>
      </c>
      <c r="BF32" s="303">
        <v>70.566000000000003</v>
      </c>
      <c r="BG32" s="303">
        <v>102.96</v>
      </c>
      <c r="BH32" s="303">
        <v>-32.393999999999991</v>
      </c>
      <c r="BI32" s="304">
        <v>61.062003001210471</v>
      </c>
      <c r="BJ32" s="304">
        <v>102.93600462368057</v>
      </c>
      <c r="BK32" s="304">
        <v>-41.874001622470104</v>
      </c>
      <c r="BL32" s="303">
        <v>62.129999999999995</v>
      </c>
      <c r="BM32" s="303">
        <v>100.5</v>
      </c>
      <c r="BN32" s="303">
        <v>-38.370000000000005</v>
      </c>
      <c r="BO32" s="304">
        <v>58.022142857142839</v>
      </c>
      <c r="BP32" s="304">
        <v>96.212571428571479</v>
      </c>
      <c r="BQ32" s="304">
        <v>-38.19042857142864</v>
      </c>
      <c r="BR32" s="305">
        <v>62.340002420432938</v>
      </c>
      <c r="BS32" s="305">
        <v>108.24000428692121</v>
      </c>
      <c r="BT32" s="305">
        <v>-45.900001866488267</v>
      </c>
      <c r="BU32" s="304">
        <v>63.503991296939915</v>
      </c>
      <c r="BV32" s="304">
        <v>100.49998626878147</v>
      </c>
      <c r="BW32" s="304">
        <v>-36.995994971841554</v>
      </c>
      <c r="BX32" s="303">
        <v>68.676000656925538</v>
      </c>
      <c r="BY32" s="303">
        <v>104.52000104680816</v>
      </c>
      <c r="BZ32" s="303">
        <v>-35.844000389882623</v>
      </c>
      <c r="CA32" s="304">
        <v>68.676000000000002</v>
      </c>
      <c r="CB32" s="304">
        <v>102.23999999999998</v>
      </c>
      <c r="CC32" s="304">
        <v>-33.563999999999979</v>
      </c>
      <c r="CD32" s="303">
        <v>64.308000000000007</v>
      </c>
      <c r="CE32" s="303">
        <v>116.25</v>
      </c>
      <c r="CF32" s="303">
        <v>-51.941999999999993</v>
      </c>
      <c r="CG32" s="304">
        <v>65.639999999999986</v>
      </c>
      <c r="CH32" s="304">
        <v>108.18</v>
      </c>
      <c r="CI32" s="304">
        <v>-42.54000000000002</v>
      </c>
      <c r="CJ32" s="303">
        <v>71.099999999999994</v>
      </c>
      <c r="CK32" s="303">
        <v>112.5</v>
      </c>
      <c r="CL32" s="303">
        <v>-41.400000000000006</v>
      </c>
      <c r="CM32" s="304">
        <v>41.093999999999994</v>
      </c>
      <c r="CN32" s="304">
        <v>110.16000000000001</v>
      </c>
      <c r="CO32" s="304">
        <v>-69.066000000000017</v>
      </c>
      <c r="CP32" s="303">
        <v>46.169999999999995</v>
      </c>
      <c r="CQ32" s="303">
        <v>127.32000000000002</v>
      </c>
      <c r="CR32" s="303">
        <v>-81.150000000000034</v>
      </c>
      <c r="CS32" s="304">
        <v>46.74</v>
      </c>
      <c r="CT32" s="304">
        <v>127.422</v>
      </c>
      <c r="CU32" s="304">
        <v>-80.681999999999988</v>
      </c>
      <c r="CV32" s="303">
        <v>76.8</v>
      </c>
      <c r="CW32" s="303">
        <v>82.199999999999974</v>
      </c>
      <c r="CX32" s="303">
        <v>-5.3999999999999773</v>
      </c>
      <c r="CY32" s="304">
        <v>42.9</v>
      </c>
      <c r="CZ32" s="304">
        <v>133.19999999999999</v>
      </c>
      <c r="DA32" s="304">
        <v>-90.299999999999983</v>
      </c>
      <c r="DB32" s="303">
        <v>21</v>
      </c>
      <c r="DC32" s="303">
        <v>82.2</v>
      </c>
      <c r="DD32" s="303">
        <v>-61.2</v>
      </c>
      <c r="DE32" s="304">
        <v>29.604001536474168</v>
      </c>
      <c r="DF32" s="304">
        <v>46.800001997416416</v>
      </c>
      <c r="DG32" s="304">
        <v>-17.196000460942248</v>
      </c>
      <c r="DH32" s="303">
        <v>21</v>
      </c>
      <c r="DI32" s="303">
        <v>48</v>
      </c>
      <c r="DJ32" s="303">
        <v>-27</v>
      </c>
      <c r="DK32" s="304">
        <v>24</v>
      </c>
      <c r="DL32" s="304">
        <v>43.199999999999996</v>
      </c>
      <c r="DM32" s="304">
        <v>-19.199999999999996</v>
      </c>
      <c r="DN32" s="303">
        <v>21</v>
      </c>
      <c r="DO32" s="303">
        <v>25.679999999999996</v>
      </c>
      <c r="DP32" s="303">
        <v>-4.6799999999999962</v>
      </c>
      <c r="DQ32" s="304">
        <v>24</v>
      </c>
      <c r="DR32" s="304">
        <v>24.48</v>
      </c>
      <c r="DS32" s="304">
        <v>-0.48000000000000043</v>
      </c>
      <c r="DT32" s="303">
        <v>23.4</v>
      </c>
      <c r="DU32" s="303">
        <v>23.279999999999998</v>
      </c>
      <c r="DV32" s="312">
        <v>0.12000000000000099</v>
      </c>
      <c r="DW32" s="304">
        <v>26.4</v>
      </c>
      <c r="DX32" s="304">
        <v>28.080000000000002</v>
      </c>
      <c r="DY32" s="304">
        <v>-1.6800000000000033</v>
      </c>
      <c r="DZ32" s="316">
        <v>22.920002326207069</v>
      </c>
      <c r="EA32" s="316">
        <v>24.750002143618072</v>
      </c>
      <c r="EB32" s="316">
        <v>-1.8299998174110037</v>
      </c>
      <c r="EC32" s="304">
        <v>21.5999986778499</v>
      </c>
      <c r="ED32" s="304">
        <v>23.159998632920619</v>
      </c>
      <c r="EE32" s="304">
        <v>-1.5599999550707189</v>
      </c>
      <c r="EF32" s="316">
        <v>22.83</v>
      </c>
      <c r="EG32" s="316">
        <v>22.529999999999998</v>
      </c>
      <c r="EH32" s="316">
        <v>0.30000000000000071</v>
      </c>
      <c r="EI32" s="304">
        <v>24.393599999999999</v>
      </c>
      <c r="EJ32" s="304">
        <v>25.974000000000004</v>
      </c>
      <c r="EK32" s="304">
        <v>-1.5804000000000045</v>
      </c>
      <c r="EL32" s="316">
        <v>18.030496402500006</v>
      </c>
      <c r="EM32" s="316">
        <v>14.503989320000002</v>
      </c>
      <c r="EN32" s="316">
        <v>3.5265070825000038</v>
      </c>
      <c r="EO32" s="304">
        <v>13.309894462500001</v>
      </c>
      <c r="EP32" s="304">
        <v>11.53143845</v>
      </c>
      <c r="EQ32" s="304">
        <v>1.7784560125000013</v>
      </c>
      <c r="ER32" s="316">
        <v>13.273185405</v>
      </c>
      <c r="ES32" s="316">
        <v>12.021692180000001</v>
      </c>
      <c r="ET32" s="316">
        <v>1.251493224999999</v>
      </c>
      <c r="EU32" s="304">
        <v>19.386575434999997</v>
      </c>
      <c r="EV32" s="304">
        <v>19.159783540000006</v>
      </c>
      <c r="EW32" s="304">
        <v>0.22679189499999097</v>
      </c>
      <c r="EX32" s="317">
        <v>15.045389480000001</v>
      </c>
      <c r="EY32" s="317">
        <v>31.604536679999999</v>
      </c>
      <c r="EZ32" s="317">
        <v>-16.559147199999998</v>
      </c>
      <c r="FA32" s="307">
        <v>22.806208179999999</v>
      </c>
      <c r="FB32" s="307">
        <v>11.05837689</v>
      </c>
      <c r="FC32" s="307">
        <v>11.747831289999999</v>
      </c>
      <c r="FD32" s="317">
        <v>7.0750722499999998</v>
      </c>
      <c r="FE32" s="317">
        <v>7.5753270100000005</v>
      </c>
      <c r="FF32" s="317">
        <v>-0.50025476000000069</v>
      </c>
      <c r="FG32" s="304">
        <v>10.292698944999998</v>
      </c>
      <c r="FH32" s="304">
        <v>14.383492519999999</v>
      </c>
      <c r="FI32" s="304">
        <v>-4.0907935750000011</v>
      </c>
      <c r="FJ32" s="317">
        <v>12.92957898681809</v>
      </c>
      <c r="FK32" s="317">
        <v>5.0468417502750622</v>
      </c>
      <c r="FL32" s="317">
        <v>7.8827372365430275</v>
      </c>
      <c r="FM32" s="307">
        <v>9.8469598736041934</v>
      </c>
      <c r="FN32" s="307">
        <v>3.8202492322731691</v>
      </c>
      <c r="FO32" s="307">
        <v>6.0267106413310243</v>
      </c>
      <c r="FP32" s="317">
        <v>12.149343392973023</v>
      </c>
      <c r="FQ32" s="317">
        <v>5.5547487387441219</v>
      </c>
      <c r="FR32" s="317">
        <v>6.5945946542289011</v>
      </c>
      <c r="FS32" s="307">
        <v>11.416634538982416</v>
      </c>
      <c r="FT32" s="307">
        <v>6.7966211574652799</v>
      </c>
      <c r="FU32" s="307">
        <v>4.6200133815171363</v>
      </c>
    </row>
    <row r="33" spans="1:177" ht="13.9" customHeight="1" x14ac:dyDescent="0.2">
      <c r="A33" s="284"/>
      <c r="F33" s="272" t="s">
        <v>507</v>
      </c>
      <c r="J33" s="303"/>
      <c r="K33" s="303"/>
      <c r="L33" s="303"/>
      <c r="M33" s="304"/>
      <c r="N33" s="304"/>
      <c r="O33" s="304"/>
      <c r="P33" s="303"/>
      <c r="Q33" s="303"/>
      <c r="R33" s="303"/>
      <c r="S33" s="304"/>
      <c r="T33" s="304"/>
      <c r="U33" s="304"/>
      <c r="V33" s="303"/>
      <c r="W33" s="303"/>
      <c r="X33" s="303"/>
      <c r="Y33" s="304"/>
      <c r="Z33" s="304"/>
      <c r="AA33" s="304"/>
      <c r="AB33" s="303"/>
      <c r="AC33" s="303"/>
      <c r="AD33" s="303"/>
      <c r="AE33" s="304"/>
      <c r="AF33" s="304"/>
      <c r="AG33" s="304"/>
      <c r="AH33" s="303"/>
      <c r="AI33" s="303"/>
      <c r="AJ33" s="303"/>
      <c r="AK33" s="304"/>
      <c r="AL33" s="304"/>
      <c r="AM33" s="304"/>
      <c r="AN33" s="303"/>
      <c r="AO33" s="303"/>
      <c r="AP33" s="303"/>
      <c r="AQ33" s="304"/>
      <c r="AR33" s="304"/>
      <c r="AS33" s="304"/>
      <c r="AT33" s="303"/>
      <c r="AU33" s="303"/>
      <c r="AV33" s="303"/>
      <c r="AW33" s="304"/>
      <c r="AX33" s="304"/>
      <c r="AY33" s="304"/>
      <c r="AZ33" s="303"/>
      <c r="BA33" s="303"/>
      <c r="BB33" s="303"/>
      <c r="BC33" s="304"/>
      <c r="BD33" s="304"/>
      <c r="BE33" s="304"/>
      <c r="BF33" s="303"/>
      <c r="BG33" s="303"/>
      <c r="BH33" s="303"/>
      <c r="BI33" s="304"/>
      <c r="BJ33" s="304"/>
      <c r="BK33" s="304"/>
      <c r="BL33" s="303"/>
      <c r="BM33" s="303"/>
      <c r="BN33" s="303"/>
      <c r="BO33" s="304"/>
      <c r="BP33" s="304"/>
      <c r="BQ33" s="304"/>
      <c r="BR33" s="305"/>
      <c r="BS33" s="305"/>
      <c r="BT33" s="305"/>
      <c r="BU33" s="304"/>
      <c r="BV33" s="304"/>
      <c r="BW33" s="304"/>
      <c r="BX33" s="303"/>
      <c r="BY33" s="303"/>
      <c r="BZ33" s="303"/>
      <c r="CA33" s="304"/>
      <c r="CB33" s="304"/>
      <c r="CC33" s="304"/>
      <c r="CD33" s="303"/>
      <c r="CE33" s="303"/>
      <c r="CF33" s="303"/>
      <c r="CG33" s="304"/>
      <c r="CH33" s="304"/>
      <c r="CI33" s="304"/>
      <c r="CJ33" s="303"/>
      <c r="CK33" s="303"/>
      <c r="CL33" s="303"/>
      <c r="CM33" s="304"/>
      <c r="CN33" s="304"/>
      <c r="CO33" s="304"/>
      <c r="CP33" s="303"/>
      <c r="CQ33" s="303"/>
      <c r="CR33" s="303"/>
      <c r="CS33" s="304"/>
      <c r="CT33" s="304"/>
      <c r="CU33" s="304"/>
      <c r="CV33" s="303"/>
      <c r="CW33" s="303"/>
      <c r="CX33" s="303"/>
      <c r="CY33" s="304"/>
      <c r="CZ33" s="304"/>
      <c r="DA33" s="304"/>
      <c r="DB33" s="303"/>
      <c r="DC33" s="303"/>
      <c r="DD33" s="303"/>
      <c r="DE33" s="304"/>
      <c r="DF33" s="304"/>
      <c r="DG33" s="304"/>
      <c r="DH33" s="303"/>
      <c r="DI33" s="303"/>
      <c r="DJ33" s="303"/>
      <c r="DK33" s="304"/>
      <c r="DL33" s="304"/>
      <c r="DM33" s="304"/>
      <c r="DN33" s="303"/>
      <c r="DO33" s="303"/>
      <c r="DP33" s="303"/>
      <c r="DQ33" s="304"/>
      <c r="DR33" s="304"/>
      <c r="DS33" s="304"/>
      <c r="DT33" s="303"/>
      <c r="DU33" s="303"/>
      <c r="DV33" s="312"/>
      <c r="DW33" s="304"/>
      <c r="DX33" s="304"/>
      <c r="DY33" s="304"/>
      <c r="DZ33" s="316">
        <v>0</v>
      </c>
      <c r="EA33" s="316">
        <v>0</v>
      </c>
      <c r="EB33" s="316">
        <v>0</v>
      </c>
      <c r="EC33" s="304">
        <v>0</v>
      </c>
      <c r="ED33" s="304">
        <v>0</v>
      </c>
      <c r="EE33" s="304">
        <v>0</v>
      </c>
      <c r="EF33" s="316">
        <v>0</v>
      </c>
      <c r="EG33" s="316">
        <v>0</v>
      </c>
      <c r="EH33" s="316">
        <v>0</v>
      </c>
      <c r="EI33" s="304">
        <v>0</v>
      </c>
      <c r="EJ33" s="304">
        <v>0</v>
      </c>
      <c r="EK33" s="304">
        <v>0</v>
      </c>
      <c r="EL33" s="316">
        <v>0.24838688</v>
      </c>
      <c r="EM33" s="316">
        <v>11.263421170000001</v>
      </c>
      <c r="EN33" s="316">
        <v>-11.015034290000001</v>
      </c>
      <c r="EO33" s="304">
        <v>6.5128447999999999</v>
      </c>
      <c r="EP33" s="304">
        <v>22.273375189999999</v>
      </c>
      <c r="EQ33" s="304">
        <v>-15.76053039</v>
      </c>
      <c r="ER33" s="316">
        <v>2.0384601700000005</v>
      </c>
      <c r="ES33" s="316">
        <v>25.459979109999999</v>
      </c>
      <c r="ET33" s="316">
        <v>-23.421518939999999</v>
      </c>
      <c r="EU33" s="304">
        <v>5.9506819599999998</v>
      </c>
      <c r="EV33" s="304">
        <v>35.225894190000005</v>
      </c>
      <c r="EW33" s="304">
        <v>-29.275212230000005</v>
      </c>
      <c r="EX33" s="317">
        <v>3.2478163900000014</v>
      </c>
      <c r="EY33" s="317">
        <v>31.480098700000006</v>
      </c>
      <c r="EZ33" s="317">
        <v>-28.232282310000006</v>
      </c>
      <c r="FA33" s="307">
        <v>1.5192722814419186</v>
      </c>
      <c r="FB33" s="307">
        <v>28.879535358167175</v>
      </c>
      <c r="FC33" s="307">
        <v>-27.360263076725257</v>
      </c>
      <c r="FD33" s="318">
        <v>0.33917235000000007</v>
      </c>
      <c r="FE33" s="317">
        <v>44.975021810000008</v>
      </c>
      <c r="FF33" s="317">
        <v>-44.63584946000001</v>
      </c>
      <c r="FG33" s="304">
        <v>2.10833709</v>
      </c>
      <c r="FH33" s="304">
        <v>43.101380380000009</v>
      </c>
      <c r="FI33" s="304">
        <v>-40.99304329000001</v>
      </c>
      <c r="FJ33" s="317">
        <v>2.1979555547231047</v>
      </c>
      <c r="FK33" s="317">
        <v>42.196357693634248</v>
      </c>
      <c r="FL33" s="317">
        <v>-39.998402138911146</v>
      </c>
      <c r="FM33" s="307">
        <v>3.4768473778511724</v>
      </c>
      <c r="FN33" s="307">
        <v>32.73518205202555</v>
      </c>
      <c r="FO33" s="307">
        <v>-29.258334674174378</v>
      </c>
      <c r="FP33" s="317">
        <v>3.9723673466324607</v>
      </c>
      <c r="FQ33" s="317">
        <v>45.839719989833775</v>
      </c>
      <c r="FR33" s="317">
        <v>-41.867352643201315</v>
      </c>
      <c r="FS33" s="307">
        <v>2.43816972534314</v>
      </c>
      <c r="FT33" s="307">
        <v>44.163530962408572</v>
      </c>
      <c r="FU33" s="307">
        <v>-41.725361237065435</v>
      </c>
    </row>
    <row r="34" spans="1:177" ht="13.9" customHeight="1" x14ac:dyDescent="0.2">
      <c r="A34" s="284"/>
      <c r="F34" s="272" t="s">
        <v>508</v>
      </c>
      <c r="J34" s="303">
        <v>161.29899999999998</v>
      </c>
      <c r="K34" s="303">
        <v>53.630584417072768</v>
      </c>
      <c r="L34" s="303">
        <v>107.66841558292721</v>
      </c>
      <c r="M34" s="304">
        <v>162.12</v>
      </c>
      <c r="N34" s="304">
        <v>57.528576295234281</v>
      </c>
      <c r="O34" s="304">
        <v>104.59142370476573</v>
      </c>
      <c r="P34" s="303">
        <v>170.73500000000001</v>
      </c>
      <c r="Q34" s="303">
        <v>50.631642052642519</v>
      </c>
      <c r="R34" s="303">
        <v>120.10335794735749</v>
      </c>
      <c r="S34" s="304">
        <v>178.76000000000002</v>
      </c>
      <c r="T34" s="304">
        <v>45.374547084838092</v>
      </c>
      <c r="U34" s="304">
        <v>133.38545291516192</v>
      </c>
      <c r="V34" s="303">
        <v>182.23300929470543</v>
      </c>
      <c r="W34" s="303">
        <v>94.617004716198494</v>
      </c>
      <c r="X34" s="303">
        <v>87.616004578506931</v>
      </c>
      <c r="Y34" s="304">
        <v>170.893</v>
      </c>
      <c r="Z34" s="304">
        <v>97.962000000000003</v>
      </c>
      <c r="AA34" s="304">
        <v>72.930999999999997</v>
      </c>
      <c r="AB34" s="303">
        <v>180.22303445923157</v>
      </c>
      <c r="AC34" s="303">
        <v>90.940017315129865</v>
      </c>
      <c r="AD34" s="303">
        <v>89.283017144101706</v>
      </c>
      <c r="AE34" s="304">
        <v>185.31302189262468</v>
      </c>
      <c r="AF34" s="304">
        <v>84.28501007000439</v>
      </c>
      <c r="AG34" s="304">
        <v>101.02801182262029</v>
      </c>
      <c r="AH34" s="303">
        <v>207.23102600000001</v>
      </c>
      <c r="AI34" s="303">
        <v>100.94999999999999</v>
      </c>
      <c r="AJ34" s="303">
        <v>106.28102600000003</v>
      </c>
      <c r="AK34" s="304">
        <v>189.53918000000002</v>
      </c>
      <c r="AL34" s="304">
        <v>104.16000000000001</v>
      </c>
      <c r="AM34" s="304">
        <v>85.379180000000005</v>
      </c>
      <c r="AN34" s="303">
        <v>188.06001169268688</v>
      </c>
      <c r="AO34" s="303">
        <v>98.952006010300607</v>
      </c>
      <c r="AP34" s="303">
        <v>89.108005682386278</v>
      </c>
      <c r="AQ34" s="304">
        <v>163.07</v>
      </c>
      <c r="AR34" s="304">
        <v>94.094999999999999</v>
      </c>
      <c r="AS34" s="304">
        <v>68.974999999999994</v>
      </c>
      <c r="AT34" s="303">
        <v>213.95999999999998</v>
      </c>
      <c r="AU34" s="303">
        <v>108.49499999999999</v>
      </c>
      <c r="AV34" s="303">
        <v>105.46499999999999</v>
      </c>
      <c r="AW34" s="304">
        <v>196.232</v>
      </c>
      <c r="AX34" s="304">
        <v>110.63</v>
      </c>
      <c r="AY34" s="304">
        <v>85.602000000000004</v>
      </c>
      <c r="AZ34" s="303">
        <v>195.02400213611133</v>
      </c>
      <c r="BA34" s="303">
        <v>109.58500126925645</v>
      </c>
      <c r="BB34" s="303">
        <v>85.439000866854883</v>
      </c>
      <c r="BC34" s="304">
        <v>199.64600000000002</v>
      </c>
      <c r="BD34" s="304">
        <v>100.77500000000001</v>
      </c>
      <c r="BE34" s="304">
        <v>98.871000000000009</v>
      </c>
      <c r="BF34" s="303">
        <v>227.38299999999998</v>
      </c>
      <c r="BG34" s="303">
        <v>112.47999999999999</v>
      </c>
      <c r="BH34" s="303">
        <v>114.90299999999999</v>
      </c>
      <c r="BI34" s="304">
        <v>214.91101040085195</v>
      </c>
      <c r="BJ34" s="304">
        <v>123.03800564310932</v>
      </c>
      <c r="BK34" s="304">
        <v>91.873004757742635</v>
      </c>
      <c r="BL34" s="303">
        <v>206.315</v>
      </c>
      <c r="BM34" s="303">
        <v>105.2</v>
      </c>
      <c r="BN34" s="303">
        <v>101.11499999999999</v>
      </c>
      <c r="BO34" s="304">
        <v>209.74142857142863</v>
      </c>
      <c r="BP34" s="304">
        <v>102.12235714285721</v>
      </c>
      <c r="BQ34" s="304">
        <v>107.61907142857142</v>
      </c>
      <c r="BR34" s="305">
        <v>237.27000919023868</v>
      </c>
      <c r="BS34" s="305">
        <v>113.54179024599966</v>
      </c>
      <c r="BT34" s="305">
        <v>123.72821894423902</v>
      </c>
      <c r="BU34" s="304">
        <v>214.46589920380677</v>
      </c>
      <c r="BV34" s="304">
        <v>113.279984454904</v>
      </c>
      <c r="BW34" s="304">
        <v>101.18591474890277</v>
      </c>
      <c r="BX34" s="303">
        <v>236.21478820876311</v>
      </c>
      <c r="BY34" s="303">
        <v>115.66000119991277</v>
      </c>
      <c r="BZ34" s="303">
        <v>120.55478700885034</v>
      </c>
      <c r="CA34" s="304">
        <v>237.71478571428571</v>
      </c>
      <c r="CB34" s="304">
        <v>112.51999999999998</v>
      </c>
      <c r="CC34" s="304">
        <v>125.19478571428573</v>
      </c>
      <c r="CD34" s="303">
        <v>258.654</v>
      </c>
      <c r="CE34" s="303">
        <v>120.27500000000001</v>
      </c>
      <c r="CF34" s="303">
        <v>138.37899999999999</v>
      </c>
      <c r="CG34" s="304">
        <v>239.82</v>
      </c>
      <c r="CH34" s="304">
        <v>120.94</v>
      </c>
      <c r="CI34" s="304">
        <v>118.88</v>
      </c>
      <c r="CJ34" s="303">
        <v>257.95</v>
      </c>
      <c r="CK34" s="303">
        <v>123.1</v>
      </c>
      <c r="CL34" s="303">
        <v>134.85</v>
      </c>
      <c r="CM34" s="304">
        <v>238.547</v>
      </c>
      <c r="CN34" s="304">
        <v>119.92</v>
      </c>
      <c r="CO34" s="304">
        <v>118.627</v>
      </c>
      <c r="CP34" s="303">
        <v>270.13499999999999</v>
      </c>
      <c r="CQ34" s="303">
        <v>133.85000000000002</v>
      </c>
      <c r="CR34" s="303">
        <v>136.28499999999997</v>
      </c>
      <c r="CS34" s="304">
        <v>269.05</v>
      </c>
      <c r="CT34" s="304">
        <v>136.411</v>
      </c>
      <c r="CU34" s="304">
        <v>132.63900000000001</v>
      </c>
      <c r="CV34" s="303">
        <v>288.39999999999998</v>
      </c>
      <c r="CW34" s="303">
        <v>120.19999999999999</v>
      </c>
      <c r="CX34" s="303">
        <v>168.2</v>
      </c>
      <c r="CY34" s="304">
        <v>226.45</v>
      </c>
      <c r="CZ34" s="304">
        <v>124.33999999999999</v>
      </c>
      <c r="DA34" s="304">
        <v>102.11</v>
      </c>
      <c r="DB34" s="303">
        <v>264.25</v>
      </c>
      <c r="DC34" s="303">
        <v>91.37</v>
      </c>
      <c r="DD34" s="303">
        <v>172.88</v>
      </c>
      <c r="DE34" s="304">
        <v>240.30200870668696</v>
      </c>
      <c r="DF34" s="304">
        <v>75.400003335429346</v>
      </c>
      <c r="DG34" s="304">
        <v>164.90200537125762</v>
      </c>
      <c r="DH34" s="303">
        <v>254.75</v>
      </c>
      <c r="DI34" s="303">
        <v>61.55</v>
      </c>
      <c r="DJ34" s="303">
        <v>193.2</v>
      </c>
      <c r="DK34" s="304">
        <v>235.5</v>
      </c>
      <c r="DL34" s="304">
        <v>60.149999999999991</v>
      </c>
      <c r="DM34" s="304">
        <v>175.35000000000002</v>
      </c>
      <c r="DN34" s="303">
        <v>292.8</v>
      </c>
      <c r="DO34" s="303">
        <v>46.989999999999995</v>
      </c>
      <c r="DP34" s="303">
        <v>245.81</v>
      </c>
      <c r="DQ34" s="304">
        <v>299</v>
      </c>
      <c r="DR34" s="304">
        <v>38.24</v>
      </c>
      <c r="DS34" s="304">
        <v>260.76</v>
      </c>
      <c r="DT34" s="303">
        <v>298.39999999999998</v>
      </c>
      <c r="DU34" s="303">
        <v>39.14</v>
      </c>
      <c r="DV34" s="303">
        <v>259.26</v>
      </c>
      <c r="DW34" s="304">
        <v>310.5</v>
      </c>
      <c r="DX34" s="304">
        <v>46.44</v>
      </c>
      <c r="DY34" s="304">
        <v>264.06</v>
      </c>
      <c r="DZ34" s="303">
        <v>292.96002739360483</v>
      </c>
      <c r="EA34" s="303">
        <v>44.475004280588507</v>
      </c>
      <c r="EB34" s="303">
        <v>248.48502311301633</v>
      </c>
      <c r="EC34" s="304">
        <v>281.40998199032356</v>
      </c>
      <c r="ED34" s="304">
        <v>36.779997716591538</v>
      </c>
      <c r="EE34" s="304">
        <v>244.62998427373202</v>
      </c>
      <c r="EF34" s="303">
        <v>272.67500000000001</v>
      </c>
      <c r="EG34" s="303">
        <v>37.11</v>
      </c>
      <c r="EH34" s="303">
        <v>235.565</v>
      </c>
      <c r="EI34" s="304">
        <v>250.04679999999999</v>
      </c>
      <c r="EJ34" s="304">
        <v>42.691999999999993</v>
      </c>
      <c r="EK34" s="304">
        <v>207.35480000000001</v>
      </c>
      <c r="EL34" s="303">
        <v>236.90714479750005</v>
      </c>
      <c r="EM34" s="303">
        <v>66.098919409999993</v>
      </c>
      <c r="EN34" s="303">
        <v>170.80822538750004</v>
      </c>
      <c r="EO34" s="304">
        <v>215.32294106750001</v>
      </c>
      <c r="EP34" s="304">
        <v>66.86864435999999</v>
      </c>
      <c r="EQ34" s="304">
        <v>148.45429670750002</v>
      </c>
      <c r="ER34" s="303">
        <v>240.903306735</v>
      </c>
      <c r="ES34" s="303">
        <v>60.777050580000001</v>
      </c>
      <c r="ET34" s="303">
        <v>180.12625615499999</v>
      </c>
      <c r="EU34" s="304">
        <v>223.54094539250002</v>
      </c>
      <c r="EV34" s="304">
        <v>57.033712949999995</v>
      </c>
      <c r="EW34" s="304">
        <v>166.50723244250003</v>
      </c>
      <c r="EX34" s="306">
        <v>209.60716145000004</v>
      </c>
      <c r="EY34" s="306">
        <v>53.128444479999999</v>
      </c>
      <c r="EZ34" s="306">
        <v>156.47871697000005</v>
      </c>
      <c r="FA34" s="307">
        <v>260.51691991000007</v>
      </c>
      <c r="FB34" s="307">
        <v>65.661075329999989</v>
      </c>
      <c r="FC34" s="307">
        <v>194.85584458000008</v>
      </c>
      <c r="FD34" s="306">
        <v>259.72904479500005</v>
      </c>
      <c r="FE34" s="306">
        <v>61.961703400000005</v>
      </c>
      <c r="FF34" s="306">
        <v>197.76734139500005</v>
      </c>
      <c r="FG34" s="304">
        <v>241.60717218749997</v>
      </c>
      <c r="FH34" s="304">
        <v>63.70549535</v>
      </c>
      <c r="FI34" s="304">
        <v>177.90167683749996</v>
      </c>
      <c r="FJ34" s="306">
        <v>222.9630989624236</v>
      </c>
      <c r="FK34" s="306">
        <v>68.526829548304434</v>
      </c>
      <c r="FL34" s="306">
        <v>154.43626941411918</v>
      </c>
      <c r="FM34" s="307">
        <v>243.31784027711166</v>
      </c>
      <c r="FN34" s="307">
        <v>65.695998616590174</v>
      </c>
      <c r="FO34" s="307">
        <v>177.62184166052148</v>
      </c>
      <c r="FP34" s="306">
        <v>224.47727146941844</v>
      </c>
      <c r="FQ34" s="306">
        <v>88.022801234440038</v>
      </c>
      <c r="FR34" s="306">
        <v>136.4544702349784</v>
      </c>
      <c r="FS34" s="307">
        <v>212.11188253580269</v>
      </c>
      <c r="FT34" s="307">
        <v>74.676623691027487</v>
      </c>
      <c r="FU34" s="307">
        <v>137.43525884477521</v>
      </c>
    </row>
    <row r="35" spans="1:177" ht="13.9" customHeight="1" x14ac:dyDescent="0.2">
      <c r="A35" s="284"/>
      <c r="G35" s="319" t="s">
        <v>509</v>
      </c>
      <c r="H35" s="320"/>
      <c r="I35" s="320"/>
      <c r="J35" s="303">
        <v>27.58</v>
      </c>
      <c r="K35" s="303">
        <v>15.94</v>
      </c>
      <c r="L35" s="303">
        <v>11.639999999999999</v>
      </c>
      <c r="M35" s="304">
        <v>26.099999999999998</v>
      </c>
      <c r="N35" s="304">
        <v>17.82</v>
      </c>
      <c r="O35" s="304">
        <v>8.2799999999999976</v>
      </c>
      <c r="P35" s="303">
        <v>25.19</v>
      </c>
      <c r="Q35" s="303">
        <v>16.55</v>
      </c>
      <c r="R35" s="303">
        <v>8.64</v>
      </c>
      <c r="S35" s="304">
        <v>30.02</v>
      </c>
      <c r="T35" s="304">
        <v>17.549999999999997</v>
      </c>
      <c r="U35" s="304">
        <v>12.470000000000002</v>
      </c>
      <c r="V35" s="303">
        <v>28.500001441481917</v>
      </c>
      <c r="W35" s="303">
        <v>22.100001081111436</v>
      </c>
      <c r="X35" s="303">
        <v>6.4000003603704805</v>
      </c>
      <c r="Y35" s="304">
        <v>27.2</v>
      </c>
      <c r="Z35" s="304">
        <v>24</v>
      </c>
      <c r="AA35" s="304">
        <v>3.1999999999999993</v>
      </c>
      <c r="AB35" s="303">
        <v>26.700005149820051</v>
      </c>
      <c r="AC35" s="303">
        <v>21.100004072335317</v>
      </c>
      <c r="AD35" s="303">
        <v>5.600001077484734</v>
      </c>
      <c r="AE35" s="304">
        <v>31.850003922953768</v>
      </c>
      <c r="AF35" s="304">
        <v>19.700002252066053</v>
      </c>
      <c r="AG35" s="304">
        <v>12.150001670887715</v>
      </c>
      <c r="AH35" s="303">
        <v>30.21</v>
      </c>
      <c r="AI35" s="303">
        <v>23.9</v>
      </c>
      <c r="AJ35" s="303">
        <v>6.3100000000000023</v>
      </c>
      <c r="AK35" s="304">
        <v>29.2</v>
      </c>
      <c r="AL35" s="304">
        <v>25.59</v>
      </c>
      <c r="AM35" s="304">
        <v>3.6099999999999994</v>
      </c>
      <c r="AN35" s="303">
        <v>28.100001773003946</v>
      </c>
      <c r="AO35" s="303">
        <v>24.190001517106474</v>
      </c>
      <c r="AP35" s="303">
        <v>3.9100002558974722</v>
      </c>
      <c r="AQ35" s="304">
        <v>32.5</v>
      </c>
      <c r="AR35" s="304">
        <v>24.2</v>
      </c>
      <c r="AS35" s="304">
        <v>8.3000000000000007</v>
      </c>
      <c r="AT35" s="303">
        <v>32.200000000000003</v>
      </c>
      <c r="AU35" s="303">
        <v>24.450000000000003</v>
      </c>
      <c r="AV35" s="303">
        <v>7.75</v>
      </c>
      <c r="AW35" s="304">
        <v>31.5</v>
      </c>
      <c r="AX35" s="304">
        <v>26.439999999999998</v>
      </c>
      <c r="AY35" s="304">
        <v>5.0600000000000023</v>
      </c>
      <c r="AZ35" s="303">
        <v>30.150000329809473</v>
      </c>
      <c r="BA35" s="303">
        <v>26.640000289008299</v>
      </c>
      <c r="BB35" s="303">
        <v>3.5100000408011738</v>
      </c>
      <c r="BC35" s="304">
        <v>34.36</v>
      </c>
      <c r="BD35" s="304">
        <v>24.75</v>
      </c>
      <c r="BE35" s="304">
        <v>9.61</v>
      </c>
      <c r="BF35" s="303">
        <v>34.69</v>
      </c>
      <c r="BG35" s="303">
        <v>25.9</v>
      </c>
      <c r="BH35" s="303">
        <v>8.7899999999999991</v>
      </c>
      <c r="BI35" s="304">
        <v>34.890001763422504</v>
      </c>
      <c r="BJ35" s="304">
        <v>29.400001370406628</v>
      </c>
      <c r="BK35" s="304">
        <v>5.4900003930158761</v>
      </c>
      <c r="BL35" s="303">
        <v>28.549999999999997</v>
      </c>
      <c r="BM35" s="303">
        <v>25</v>
      </c>
      <c r="BN35" s="303">
        <v>3.5499999999999972</v>
      </c>
      <c r="BO35" s="304">
        <v>36.200000000000003</v>
      </c>
      <c r="BP35" s="304">
        <v>25.128214285714279</v>
      </c>
      <c r="BQ35" s="304">
        <v>11.071785714285724</v>
      </c>
      <c r="BR35" s="305">
        <v>37.100001430724589</v>
      </c>
      <c r="BS35" s="305">
        <v>26.421786664861393</v>
      </c>
      <c r="BT35" s="305">
        <v>10.678214765863196</v>
      </c>
      <c r="BU35" s="304">
        <v>33.99999530077821</v>
      </c>
      <c r="BV35" s="304">
        <v>24.999996536246297</v>
      </c>
      <c r="BW35" s="304">
        <v>8.9999987645319131</v>
      </c>
      <c r="BX35" s="303">
        <v>33.700000326385769</v>
      </c>
      <c r="BY35" s="303">
        <v>30.100000290780049</v>
      </c>
      <c r="BZ35" s="303">
        <v>3.6000000356057207</v>
      </c>
      <c r="CA35" s="304">
        <v>35.200000000000003</v>
      </c>
      <c r="CB35" s="304">
        <v>28.1</v>
      </c>
      <c r="CC35" s="304">
        <v>7.1000000000000014</v>
      </c>
      <c r="CD35" s="303">
        <v>39</v>
      </c>
      <c r="CE35" s="303">
        <v>26.95</v>
      </c>
      <c r="CF35" s="303">
        <v>12.05</v>
      </c>
      <c r="CG35" s="304">
        <v>35.900000000000006</v>
      </c>
      <c r="CH35" s="304">
        <v>25.55</v>
      </c>
      <c r="CI35" s="304">
        <v>10.350000000000005</v>
      </c>
      <c r="CJ35" s="303">
        <v>35.4</v>
      </c>
      <c r="CK35" s="303">
        <v>30.75</v>
      </c>
      <c r="CL35" s="303">
        <v>4.6499999999999986</v>
      </c>
      <c r="CM35" s="304">
        <v>37.1</v>
      </c>
      <c r="CN35" s="304">
        <v>28.74</v>
      </c>
      <c r="CO35" s="304">
        <v>8.360000000000003</v>
      </c>
      <c r="CP35" s="303">
        <v>40.900000000000006</v>
      </c>
      <c r="CQ35" s="303">
        <v>32.489999999999995</v>
      </c>
      <c r="CR35" s="303">
        <v>8.4100000000000108</v>
      </c>
      <c r="CS35" s="304">
        <v>41.18</v>
      </c>
      <c r="CT35" s="304">
        <v>32.199999999999996</v>
      </c>
      <c r="CU35" s="304">
        <v>8.980000000000004</v>
      </c>
      <c r="CV35" s="303">
        <v>38</v>
      </c>
      <c r="CW35" s="303">
        <v>36.099999999999994</v>
      </c>
      <c r="CX35" s="303">
        <v>1.9000000000000057</v>
      </c>
      <c r="CY35" s="304">
        <v>35</v>
      </c>
      <c r="CZ35" s="304">
        <v>33.739999999999995</v>
      </c>
      <c r="DA35" s="304">
        <v>1.2600000000000051</v>
      </c>
      <c r="DB35" s="303">
        <v>12.75</v>
      </c>
      <c r="DC35" s="303">
        <v>11.6</v>
      </c>
      <c r="DD35" s="303">
        <v>1.1500000000000004</v>
      </c>
      <c r="DE35" s="304">
        <v>5.5000002560790282</v>
      </c>
      <c r="DF35" s="304">
        <v>6.0000001600493924</v>
      </c>
      <c r="DG35" s="304">
        <v>-0.4999999039703642</v>
      </c>
      <c r="DH35" s="303">
        <v>2.25</v>
      </c>
      <c r="DI35" s="303">
        <v>7.55</v>
      </c>
      <c r="DJ35" s="303">
        <v>-5.3</v>
      </c>
      <c r="DK35" s="304">
        <v>3.5</v>
      </c>
      <c r="DL35" s="304">
        <v>6.55</v>
      </c>
      <c r="DM35" s="304">
        <v>-3.05</v>
      </c>
      <c r="DN35" s="303">
        <v>12.3</v>
      </c>
      <c r="DO35" s="303">
        <v>11.15</v>
      </c>
      <c r="DP35" s="303">
        <v>1.1500000000000004</v>
      </c>
      <c r="DQ35" s="304">
        <v>6</v>
      </c>
      <c r="DR35" s="304">
        <v>8</v>
      </c>
      <c r="DS35" s="304">
        <v>-2</v>
      </c>
      <c r="DT35" s="303">
        <v>6.7</v>
      </c>
      <c r="DU35" s="303">
        <v>6</v>
      </c>
      <c r="DV35" s="303">
        <v>0.70000000000000018</v>
      </c>
      <c r="DW35" s="304">
        <v>7.3</v>
      </c>
      <c r="DX35" s="304">
        <v>5.4</v>
      </c>
      <c r="DY35" s="304">
        <v>1.8999999999999995</v>
      </c>
      <c r="DZ35" s="303">
        <v>11.500001071583535</v>
      </c>
      <c r="EA35" s="303">
        <v>9.4000008759030642</v>
      </c>
      <c r="EB35" s="303">
        <v>2.1000001956804706</v>
      </c>
      <c r="EC35" s="304">
        <v>5.6099996403471648</v>
      </c>
      <c r="ED35" s="304">
        <v>7.5999995127697773</v>
      </c>
      <c r="EE35" s="304">
        <v>-1.9899998724226124</v>
      </c>
      <c r="EF35" s="303">
        <v>6.26</v>
      </c>
      <c r="EG35" s="303">
        <v>5.8500000000000005</v>
      </c>
      <c r="EH35" s="303">
        <v>0.40999999999999925</v>
      </c>
      <c r="EI35" s="304">
        <v>7.85</v>
      </c>
      <c r="EJ35" s="304">
        <v>5.27</v>
      </c>
      <c r="EK35" s="304">
        <v>2.58</v>
      </c>
      <c r="EL35" s="303">
        <v>33.610113999999996</v>
      </c>
      <c r="EM35" s="303">
        <v>10.489832920000001</v>
      </c>
      <c r="EN35" s="303">
        <v>23.120281079999994</v>
      </c>
      <c r="EO35" s="304">
        <v>34.193647910000003</v>
      </c>
      <c r="EP35" s="304">
        <v>12.184687039999998</v>
      </c>
      <c r="EQ35" s="304">
        <v>22.008960870000003</v>
      </c>
      <c r="ER35" s="303">
        <v>31.992113969999998</v>
      </c>
      <c r="ES35" s="303">
        <v>15.565275290000001</v>
      </c>
      <c r="ET35" s="303">
        <v>16.426838679999996</v>
      </c>
      <c r="EU35" s="304">
        <v>21.994629590000002</v>
      </c>
      <c r="EV35" s="304">
        <v>14.80976504</v>
      </c>
      <c r="EW35" s="304">
        <v>7.1848645500000021</v>
      </c>
      <c r="EX35" s="306">
        <v>19.79776974</v>
      </c>
      <c r="EY35" s="306">
        <v>9.1903363599999999</v>
      </c>
      <c r="EZ35" s="306">
        <v>10.60743338</v>
      </c>
      <c r="FA35" s="307">
        <v>55.779303649999996</v>
      </c>
      <c r="FB35" s="307">
        <v>18.781434259999997</v>
      </c>
      <c r="FC35" s="307">
        <v>36.997869389999998</v>
      </c>
      <c r="FD35" s="306">
        <v>17.955634090000004</v>
      </c>
      <c r="FE35" s="306">
        <v>13.995126969999998</v>
      </c>
      <c r="FF35" s="306">
        <v>3.9605071200000062</v>
      </c>
      <c r="FG35" s="304">
        <v>29.523559850000002</v>
      </c>
      <c r="FH35" s="304">
        <v>8.5771544500000001</v>
      </c>
      <c r="FI35" s="304">
        <v>20.946405400000003</v>
      </c>
      <c r="FJ35" s="306">
        <v>20.917434235375836</v>
      </c>
      <c r="FK35" s="306">
        <v>9.5440439457589594</v>
      </c>
      <c r="FL35" s="306">
        <v>11.373390289616877</v>
      </c>
      <c r="FM35" s="307">
        <v>26.891616336612508</v>
      </c>
      <c r="FN35" s="307">
        <v>7.3660825642682051</v>
      </c>
      <c r="FO35" s="307">
        <v>19.525533772344303</v>
      </c>
      <c r="FP35" s="306">
        <v>21.91945042438315</v>
      </c>
      <c r="FQ35" s="306">
        <v>9.4188926785291187</v>
      </c>
      <c r="FR35" s="306">
        <v>12.500557745854032</v>
      </c>
      <c r="FS35" s="307">
        <v>33.393192517798973</v>
      </c>
      <c r="FT35" s="307">
        <v>7.9277552063280741</v>
      </c>
      <c r="FU35" s="307">
        <v>25.4654373114709</v>
      </c>
    </row>
    <row r="36" spans="1:177" ht="13.9" customHeight="1" x14ac:dyDescent="0.2">
      <c r="A36" s="284"/>
      <c r="G36" s="319" t="s">
        <v>510</v>
      </c>
      <c r="H36" s="320"/>
      <c r="I36" s="320"/>
      <c r="J36" s="303">
        <v>133.71899999999999</v>
      </c>
      <c r="K36" s="303">
        <v>37.69058441707277</v>
      </c>
      <c r="L36" s="303">
        <v>96.028415582927224</v>
      </c>
      <c r="M36" s="304">
        <v>136.02000000000001</v>
      </c>
      <c r="N36" s="304">
        <v>39.70857629523428</v>
      </c>
      <c r="O36" s="304">
        <v>96.31142370476573</v>
      </c>
      <c r="P36" s="303">
        <v>145.54500000000002</v>
      </c>
      <c r="Q36" s="303">
        <v>34.081642052642522</v>
      </c>
      <c r="R36" s="303">
        <v>111.46335794735749</v>
      </c>
      <c r="S36" s="304">
        <v>148.74</v>
      </c>
      <c r="T36" s="304">
        <v>27.824547084838095</v>
      </c>
      <c r="U36" s="304">
        <v>120.91545291516192</v>
      </c>
      <c r="V36" s="303">
        <v>153.73300785322351</v>
      </c>
      <c r="W36" s="303">
        <v>72.517003635087065</v>
      </c>
      <c r="X36" s="303">
        <v>81.216004218136447</v>
      </c>
      <c r="Y36" s="304">
        <v>143.69300000000001</v>
      </c>
      <c r="Z36" s="304">
        <v>73.962000000000003</v>
      </c>
      <c r="AA36" s="304">
        <v>69.731000000000009</v>
      </c>
      <c r="AB36" s="303">
        <v>153.52302930941153</v>
      </c>
      <c r="AC36" s="303">
        <v>69.840013242794541</v>
      </c>
      <c r="AD36" s="303">
        <v>83.683016066616986</v>
      </c>
      <c r="AE36" s="304">
        <v>153.46301796967091</v>
      </c>
      <c r="AF36" s="304">
        <v>64.585007817938333</v>
      </c>
      <c r="AG36" s="304">
        <v>88.878010151732582</v>
      </c>
      <c r="AH36" s="303">
        <v>177.02102600000001</v>
      </c>
      <c r="AI36" s="303">
        <v>77.05</v>
      </c>
      <c r="AJ36" s="303">
        <v>99.971026000000009</v>
      </c>
      <c r="AK36" s="304">
        <v>160.33918000000003</v>
      </c>
      <c r="AL36" s="304">
        <v>78.570000000000007</v>
      </c>
      <c r="AM36" s="304">
        <v>81.76918000000002</v>
      </c>
      <c r="AN36" s="303">
        <v>159.96000991968293</v>
      </c>
      <c r="AO36" s="303">
        <v>74.762004493194127</v>
      </c>
      <c r="AP36" s="303">
        <v>85.198005426488805</v>
      </c>
      <c r="AQ36" s="304">
        <v>130.57</v>
      </c>
      <c r="AR36" s="304">
        <v>69.894999999999996</v>
      </c>
      <c r="AS36" s="304">
        <v>60.674999999999997</v>
      </c>
      <c r="AT36" s="303">
        <v>181.76</v>
      </c>
      <c r="AU36" s="303">
        <v>84.044999999999987</v>
      </c>
      <c r="AV36" s="303">
        <v>97.715000000000003</v>
      </c>
      <c r="AW36" s="304">
        <v>164.732</v>
      </c>
      <c r="AX36" s="304">
        <v>84.19</v>
      </c>
      <c r="AY36" s="304">
        <v>80.542000000000002</v>
      </c>
      <c r="AZ36" s="303">
        <v>164.87400180630186</v>
      </c>
      <c r="BA36" s="303">
        <v>82.945000980248153</v>
      </c>
      <c r="BB36" s="303">
        <v>81.929000826053709</v>
      </c>
      <c r="BC36" s="304">
        <v>165.286</v>
      </c>
      <c r="BD36" s="304">
        <v>76.025000000000006</v>
      </c>
      <c r="BE36" s="304">
        <v>89.260999999999996</v>
      </c>
      <c r="BF36" s="303">
        <v>192.69299999999998</v>
      </c>
      <c r="BG36" s="303">
        <v>86.58</v>
      </c>
      <c r="BH36" s="303">
        <v>106.11299999999999</v>
      </c>
      <c r="BI36" s="304">
        <v>180.02100863742945</v>
      </c>
      <c r="BJ36" s="304">
        <v>93.638004272702688</v>
      </c>
      <c r="BK36" s="304">
        <v>86.383004364726759</v>
      </c>
      <c r="BL36" s="303">
        <v>177.76499999999999</v>
      </c>
      <c r="BM36" s="303">
        <v>80.2</v>
      </c>
      <c r="BN36" s="303">
        <v>97.564999999999984</v>
      </c>
      <c r="BO36" s="304">
        <v>173.54142857142864</v>
      </c>
      <c r="BP36" s="304">
        <v>76.994142857142933</v>
      </c>
      <c r="BQ36" s="304">
        <v>96.547285714285707</v>
      </c>
      <c r="BR36" s="305">
        <v>200.17000775951408</v>
      </c>
      <c r="BS36" s="305">
        <v>87.120003581138278</v>
      </c>
      <c r="BT36" s="305">
        <v>113.0500041783758</v>
      </c>
      <c r="BU36" s="304">
        <v>180.46590390302856</v>
      </c>
      <c r="BV36" s="304">
        <v>88.279987918657696</v>
      </c>
      <c r="BW36" s="304">
        <v>92.185915984370865</v>
      </c>
      <c r="BX36" s="303">
        <v>202.51478788237733</v>
      </c>
      <c r="BY36" s="303">
        <v>85.560000909132725</v>
      </c>
      <c r="BZ36" s="303">
        <v>116.95478697324461</v>
      </c>
      <c r="CA36" s="304">
        <v>202.51478571428569</v>
      </c>
      <c r="CB36" s="304">
        <v>84.419999999999987</v>
      </c>
      <c r="CC36" s="304">
        <v>118.09478571428571</v>
      </c>
      <c r="CD36" s="303">
        <v>219.654</v>
      </c>
      <c r="CE36" s="303">
        <v>93.325000000000003</v>
      </c>
      <c r="CF36" s="303">
        <v>126.32899999999999</v>
      </c>
      <c r="CG36" s="304">
        <v>203.92</v>
      </c>
      <c r="CH36" s="304">
        <v>95.39</v>
      </c>
      <c r="CI36" s="304">
        <v>108.52999999999999</v>
      </c>
      <c r="CJ36" s="303">
        <v>222.55</v>
      </c>
      <c r="CK36" s="303">
        <v>92.35</v>
      </c>
      <c r="CL36" s="303">
        <v>130.20000000000002</v>
      </c>
      <c r="CM36" s="304">
        <v>201.447</v>
      </c>
      <c r="CN36" s="304">
        <v>91.18</v>
      </c>
      <c r="CO36" s="304">
        <v>110.267</v>
      </c>
      <c r="CP36" s="303">
        <v>229.23500000000001</v>
      </c>
      <c r="CQ36" s="303">
        <v>101.36000000000001</v>
      </c>
      <c r="CR36" s="303">
        <v>127.875</v>
      </c>
      <c r="CS36" s="304">
        <v>227.87</v>
      </c>
      <c r="CT36" s="304">
        <v>104.211</v>
      </c>
      <c r="CU36" s="304">
        <v>123.65900000000001</v>
      </c>
      <c r="CV36" s="303">
        <v>250.4</v>
      </c>
      <c r="CW36" s="303">
        <v>84.1</v>
      </c>
      <c r="CX36" s="303">
        <v>166.3</v>
      </c>
      <c r="CY36" s="304">
        <v>191.45</v>
      </c>
      <c r="CZ36" s="304">
        <v>90.6</v>
      </c>
      <c r="DA36" s="304">
        <v>100.85</v>
      </c>
      <c r="DB36" s="303">
        <v>251.5</v>
      </c>
      <c r="DC36" s="303">
        <v>79.77000000000001</v>
      </c>
      <c r="DD36" s="303">
        <v>171.73</v>
      </c>
      <c r="DE36" s="304">
        <v>234.80200845060793</v>
      </c>
      <c r="DF36" s="304">
        <v>69.40000317537995</v>
      </c>
      <c r="DG36" s="304">
        <v>165.40200527522796</v>
      </c>
      <c r="DH36" s="303">
        <v>252.5</v>
      </c>
      <c r="DI36" s="303">
        <v>54</v>
      </c>
      <c r="DJ36" s="303">
        <v>198.5</v>
      </c>
      <c r="DK36" s="304">
        <v>232</v>
      </c>
      <c r="DL36" s="304">
        <v>53.599999999999994</v>
      </c>
      <c r="DM36" s="304">
        <v>178.4</v>
      </c>
      <c r="DN36" s="303">
        <v>280.5</v>
      </c>
      <c r="DO36" s="303">
        <v>35.839999999999996</v>
      </c>
      <c r="DP36" s="303">
        <v>244.66</v>
      </c>
      <c r="DQ36" s="304">
        <v>293</v>
      </c>
      <c r="DR36" s="304">
        <v>30.240000000000002</v>
      </c>
      <c r="DS36" s="304">
        <v>262.76</v>
      </c>
      <c r="DT36" s="303">
        <v>291.7</v>
      </c>
      <c r="DU36" s="303">
        <v>33.14</v>
      </c>
      <c r="DV36" s="303">
        <v>258.56</v>
      </c>
      <c r="DW36" s="304">
        <v>303.2</v>
      </c>
      <c r="DX36" s="304">
        <v>41.04</v>
      </c>
      <c r="DY36" s="304">
        <v>262.15999999999997</v>
      </c>
      <c r="DZ36" s="303">
        <v>281.46002632202129</v>
      </c>
      <c r="EA36" s="303">
        <v>35.075003404685447</v>
      </c>
      <c r="EB36" s="303">
        <v>246.38502291733585</v>
      </c>
      <c r="EC36" s="304">
        <v>275.7999823499764</v>
      </c>
      <c r="ED36" s="304">
        <v>29.179998203821757</v>
      </c>
      <c r="EE36" s="304">
        <v>246.61998414615465</v>
      </c>
      <c r="EF36" s="303">
        <v>266.41500000000002</v>
      </c>
      <c r="EG36" s="303">
        <v>31.259999999999998</v>
      </c>
      <c r="EH36" s="303">
        <v>235.15500000000003</v>
      </c>
      <c r="EI36" s="304">
        <v>242.1968</v>
      </c>
      <c r="EJ36" s="304">
        <v>37.421999999999997</v>
      </c>
      <c r="EK36" s="304">
        <v>204.7748</v>
      </c>
      <c r="EL36" s="303">
        <v>203.29703079750004</v>
      </c>
      <c r="EM36" s="303">
        <v>55.609086489999996</v>
      </c>
      <c r="EN36" s="303">
        <v>147.68794430750006</v>
      </c>
      <c r="EO36" s="304">
        <v>181.1292931575</v>
      </c>
      <c r="EP36" s="304">
        <v>54.683957319999998</v>
      </c>
      <c r="EQ36" s="304">
        <v>126.44533583750001</v>
      </c>
      <c r="ER36" s="303">
        <v>208.91119276500001</v>
      </c>
      <c r="ES36" s="303">
        <v>45.211775289999999</v>
      </c>
      <c r="ET36" s="303">
        <v>163.69941747500002</v>
      </c>
      <c r="EU36" s="304">
        <v>201.54631580250003</v>
      </c>
      <c r="EV36" s="304">
        <v>42.223947909999993</v>
      </c>
      <c r="EW36" s="304">
        <v>159.32236789250004</v>
      </c>
      <c r="EX36" s="306">
        <v>189.80939171000003</v>
      </c>
      <c r="EY36" s="306">
        <v>43.938108119999995</v>
      </c>
      <c r="EZ36" s="306">
        <v>145.87128359000002</v>
      </c>
      <c r="FA36" s="307">
        <v>204.73761626000007</v>
      </c>
      <c r="FB36" s="307">
        <v>46.879641069999998</v>
      </c>
      <c r="FC36" s="307">
        <v>157.85797519000008</v>
      </c>
      <c r="FD36" s="306">
        <v>241.77341070500006</v>
      </c>
      <c r="FE36" s="306">
        <v>47.966576430000003</v>
      </c>
      <c r="FF36" s="306">
        <v>193.80683427500006</v>
      </c>
      <c r="FG36" s="304">
        <v>212.08361233749997</v>
      </c>
      <c r="FH36" s="304">
        <v>55.128340899999998</v>
      </c>
      <c r="FI36" s="304">
        <v>156.95527143749996</v>
      </c>
      <c r="FJ36" s="306">
        <v>202.04566472704778</v>
      </c>
      <c r="FK36" s="306">
        <v>58.982785602545476</v>
      </c>
      <c r="FL36" s="306">
        <v>143.0628791245023</v>
      </c>
      <c r="FM36" s="307">
        <v>216.42622394049914</v>
      </c>
      <c r="FN36" s="307">
        <v>58.329916052321963</v>
      </c>
      <c r="FO36" s="307">
        <v>158.09630788817719</v>
      </c>
      <c r="FP36" s="306">
        <v>202.5578210450353</v>
      </c>
      <c r="FQ36" s="306">
        <v>78.60390855591092</v>
      </c>
      <c r="FR36" s="306">
        <v>123.95391248912438</v>
      </c>
      <c r="FS36" s="307">
        <v>178.71869001800371</v>
      </c>
      <c r="FT36" s="307">
        <v>66.748868484699415</v>
      </c>
      <c r="FU36" s="307">
        <v>111.9698215333043</v>
      </c>
    </row>
    <row r="37" spans="1:177" ht="13.9" customHeight="1" x14ac:dyDescent="0.2">
      <c r="A37" s="284"/>
      <c r="F37" s="272" t="s">
        <v>511</v>
      </c>
      <c r="J37" s="303">
        <v>9.8030000000000008</v>
      </c>
      <c r="K37" s="303">
        <v>12.563528139024257</v>
      </c>
      <c r="L37" s="303">
        <v>-2.760528139024256</v>
      </c>
      <c r="M37" s="304">
        <v>9.5400000000000009</v>
      </c>
      <c r="N37" s="304">
        <v>13.236192098411429</v>
      </c>
      <c r="O37" s="304">
        <v>-3.6961920984114283</v>
      </c>
      <c r="P37" s="303">
        <v>10.215</v>
      </c>
      <c r="Q37" s="303">
        <v>11.360547350880843</v>
      </c>
      <c r="R37" s="303">
        <v>-1.1455473508808431</v>
      </c>
      <c r="S37" s="304">
        <v>9.18</v>
      </c>
      <c r="T37" s="304">
        <v>9.2748490282793661</v>
      </c>
      <c r="U37" s="304">
        <v>-9.4849028279366365E-2</v>
      </c>
      <c r="V37" s="303">
        <v>10.291000559625324</v>
      </c>
      <c r="W37" s="303">
        <v>14.259000682151289</v>
      </c>
      <c r="X37" s="303">
        <v>-3.9680001225259645</v>
      </c>
      <c r="Y37" s="304">
        <v>9.7110000000000021</v>
      </c>
      <c r="Z37" s="304">
        <v>15.074000000000002</v>
      </c>
      <c r="AA37" s="304">
        <v>-5.3629999999999995</v>
      </c>
      <c r="AB37" s="303">
        <v>10.021001832159648</v>
      </c>
      <c r="AC37" s="303">
        <v>13.7000026016078</v>
      </c>
      <c r="AD37" s="303">
        <v>-3.6790007694481517</v>
      </c>
      <c r="AE37" s="304">
        <v>9.2010010595607543</v>
      </c>
      <c r="AF37" s="304">
        <v>11.615001446044349</v>
      </c>
      <c r="AG37" s="304">
        <v>-2.4140003864835951</v>
      </c>
      <c r="AH37" s="303">
        <v>10.950000000000001</v>
      </c>
      <c r="AI37" s="303">
        <v>15.100000000000001</v>
      </c>
      <c r="AJ37" s="303">
        <v>-4.1500000000000004</v>
      </c>
      <c r="AK37" s="304">
        <v>10.51</v>
      </c>
      <c r="AL37" s="304">
        <v>15.840000000000002</v>
      </c>
      <c r="AM37" s="304">
        <v>-5.3300000000000018</v>
      </c>
      <c r="AN37" s="303">
        <v>10.970000656194246</v>
      </c>
      <c r="AO37" s="303">
        <v>14.704000867126879</v>
      </c>
      <c r="AP37" s="303">
        <v>-3.7340002109326331</v>
      </c>
      <c r="AQ37" s="304">
        <v>10.190000000000001</v>
      </c>
      <c r="AR37" s="304">
        <v>12.615</v>
      </c>
      <c r="AS37" s="304">
        <v>-2.4249999999999989</v>
      </c>
      <c r="AT37" s="303">
        <v>11.520000000000001</v>
      </c>
      <c r="AU37" s="303">
        <v>16.135000000000002</v>
      </c>
      <c r="AV37" s="303">
        <v>-4.6150000000000002</v>
      </c>
      <c r="AW37" s="304">
        <v>9.9140000000000015</v>
      </c>
      <c r="AX37" s="304">
        <v>16.78</v>
      </c>
      <c r="AY37" s="304">
        <v>-6.8659999999999997</v>
      </c>
      <c r="AZ37" s="303">
        <v>10.208000116453343</v>
      </c>
      <c r="BA37" s="303">
        <v>16.115000195845624</v>
      </c>
      <c r="BB37" s="303">
        <v>-5.9070000793922812</v>
      </c>
      <c r="BC37" s="304">
        <v>10.672000000000001</v>
      </c>
      <c r="BD37" s="304">
        <v>14.225000000000001</v>
      </c>
      <c r="BE37" s="304">
        <v>-3.5530000000000008</v>
      </c>
      <c r="BF37" s="303">
        <v>11.761000000000003</v>
      </c>
      <c r="BG37" s="303">
        <v>17.16</v>
      </c>
      <c r="BH37" s="303">
        <v>-5.3989999999999974</v>
      </c>
      <c r="BI37" s="304">
        <v>10.177000500201746</v>
      </c>
      <c r="BJ37" s="304">
        <v>17.156000770613428</v>
      </c>
      <c r="BK37" s="304">
        <v>-6.9790002704116816</v>
      </c>
      <c r="BL37" s="303">
        <v>10.355</v>
      </c>
      <c r="BM37" s="303">
        <v>16.75</v>
      </c>
      <c r="BN37" s="303">
        <v>-6.3949999999999996</v>
      </c>
      <c r="BO37" s="304">
        <v>9.6703571428571422</v>
      </c>
      <c r="BP37" s="304">
        <v>16.035428571428579</v>
      </c>
      <c r="BQ37" s="304">
        <v>-6.3650714285714365</v>
      </c>
      <c r="BR37" s="305">
        <v>10.390000403405491</v>
      </c>
      <c r="BS37" s="305">
        <v>18.040000714486869</v>
      </c>
      <c r="BT37" s="305">
        <v>-7.6500003110813779</v>
      </c>
      <c r="BU37" s="304">
        <v>10.583998549489987</v>
      </c>
      <c r="BV37" s="304">
        <v>16.749997711463578</v>
      </c>
      <c r="BW37" s="304">
        <v>-6.1659991619735912</v>
      </c>
      <c r="BX37" s="303">
        <v>11.44600010948759</v>
      </c>
      <c r="BY37" s="303">
        <v>17.420000174468026</v>
      </c>
      <c r="BZ37" s="303">
        <v>-5.9740000649804355</v>
      </c>
      <c r="CA37" s="304">
        <v>11.446000000000002</v>
      </c>
      <c r="CB37" s="304">
        <v>17.04</v>
      </c>
      <c r="CC37" s="304">
        <v>-5.5939999999999976</v>
      </c>
      <c r="CD37" s="303">
        <v>10.718000000000002</v>
      </c>
      <c r="CE37" s="303">
        <v>19.375</v>
      </c>
      <c r="CF37" s="303">
        <v>-8.6569999999999983</v>
      </c>
      <c r="CG37" s="304">
        <v>10.94</v>
      </c>
      <c r="CH37" s="304">
        <v>18.03</v>
      </c>
      <c r="CI37" s="304">
        <v>-7.0900000000000016</v>
      </c>
      <c r="CJ37" s="303">
        <v>11.850000000000001</v>
      </c>
      <c r="CK37" s="303">
        <v>18.75</v>
      </c>
      <c r="CL37" s="303">
        <v>-6.8999999999999986</v>
      </c>
      <c r="CM37" s="304">
        <v>6.8490000000000002</v>
      </c>
      <c r="CN37" s="304">
        <v>18.360000000000003</v>
      </c>
      <c r="CO37" s="304">
        <v>-11.511000000000003</v>
      </c>
      <c r="CP37" s="303">
        <v>7.6949999999999994</v>
      </c>
      <c r="CQ37" s="303">
        <v>21.220000000000006</v>
      </c>
      <c r="CR37" s="303">
        <v>-13.525000000000006</v>
      </c>
      <c r="CS37" s="304">
        <v>7.7900000000000009</v>
      </c>
      <c r="CT37" s="304">
        <v>21.237000000000002</v>
      </c>
      <c r="CU37" s="304">
        <v>-13.447000000000001</v>
      </c>
      <c r="CV37" s="303">
        <v>12.8</v>
      </c>
      <c r="CW37" s="303">
        <v>13.699999999999998</v>
      </c>
      <c r="CX37" s="303">
        <v>-0.8999999999999968</v>
      </c>
      <c r="CY37" s="304">
        <v>7.15</v>
      </c>
      <c r="CZ37" s="304">
        <v>22.200000000000003</v>
      </c>
      <c r="DA37" s="304">
        <v>-15.050000000000002</v>
      </c>
      <c r="DB37" s="303">
        <v>3.5</v>
      </c>
      <c r="DC37" s="303">
        <v>13.700000000000001</v>
      </c>
      <c r="DD37" s="303">
        <v>-10.200000000000001</v>
      </c>
      <c r="DE37" s="304">
        <v>4.9340002560790284</v>
      </c>
      <c r="DF37" s="304">
        <v>7.8000003329027372</v>
      </c>
      <c r="DG37" s="304">
        <v>-2.8660000768237088</v>
      </c>
      <c r="DH37" s="303">
        <v>3.5</v>
      </c>
      <c r="DI37" s="303">
        <v>8</v>
      </c>
      <c r="DJ37" s="303">
        <v>-4.5</v>
      </c>
      <c r="DK37" s="304">
        <v>4</v>
      </c>
      <c r="DL37" s="304">
        <v>7.2</v>
      </c>
      <c r="DM37" s="304">
        <v>-3.2</v>
      </c>
      <c r="DN37" s="303">
        <v>3.5</v>
      </c>
      <c r="DO37" s="303">
        <v>4.28</v>
      </c>
      <c r="DP37" s="303">
        <v>-0.78000000000000025</v>
      </c>
      <c r="DQ37" s="304">
        <v>4</v>
      </c>
      <c r="DR37" s="304">
        <v>4.080000000000001</v>
      </c>
      <c r="DS37" s="304">
        <v>-8.0000000000000959E-2</v>
      </c>
      <c r="DT37" s="303">
        <v>3.9000000000000004</v>
      </c>
      <c r="DU37" s="303">
        <v>3.88</v>
      </c>
      <c r="DV37" s="303">
        <v>2.0000000000000462E-2</v>
      </c>
      <c r="DW37" s="304">
        <v>4.4000000000000004</v>
      </c>
      <c r="DX37" s="304">
        <v>4.6800000000000006</v>
      </c>
      <c r="DY37" s="304">
        <v>-0.28000000000000025</v>
      </c>
      <c r="DZ37" s="303">
        <v>3.8200003877011781</v>
      </c>
      <c r="EA37" s="303">
        <v>4.1250003572696796</v>
      </c>
      <c r="EB37" s="303">
        <v>-0.30499996956850151</v>
      </c>
      <c r="EC37" s="304">
        <v>3.5999997796416503</v>
      </c>
      <c r="ED37" s="304">
        <v>3.8599997721534365</v>
      </c>
      <c r="EE37" s="304">
        <v>-0.25999999251178618</v>
      </c>
      <c r="EF37" s="303">
        <v>3.8049999999999997</v>
      </c>
      <c r="EG37" s="303">
        <v>3.7549999999999999</v>
      </c>
      <c r="EH37" s="303">
        <v>4.9999999999999822E-2</v>
      </c>
      <c r="EI37" s="304">
        <v>4.0655999999999999</v>
      </c>
      <c r="EJ37" s="304">
        <v>4.3290000000000006</v>
      </c>
      <c r="EK37" s="304">
        <v>-0.26340000000000074</v>
      </c>
      <c r="EL37" s="303">
        <v>61.719285789999994</v>
      </c>
      <c r="EM37" s="303">
        <v>73.777897339999996</v>
      </c>
      <c r="EN37" s="303">
        <v>-12.058611550000002</v>
      </c>
      <c r="EO37" s="304">
        <v>82.421014500000013</v>
      </c>
      <c r="EP37" s="304">
        <v>89.540864349999993</v>
      </c>
      <c r="EQ37" s="304">
        <v>-7.1198498499999801</v>
      </c>
      <c r="ER37" s="303">
        <v>82.299244420000008</v>
      </c>
      <c r="ES37" s="303">
        <v>91.930303370000004</v>
      </c>
      <c r="ET37" s="303">
        <v>-9.6310589499999963</v>
      </c>
      <c r="EU37" s="304">
        <v>83.752048270000003</v>
      </c>
      <c r="EV37" s="304">
        <v>88.344553780000012</v>
      </c>
      <c r="EW37" s="304">
        <v>-4.5925055100000094</v>
      </c>
      <c r="EX37" s="306">
        <v>108.57213057999999</v>
      </c>
      <c r="EY37" s="306">
        <v>136.21748996000002</v>
      </c>
      <c r="EZ37" s="306">
        <v>-27.645359380000031</v>
      </c>
      <c r="FA37" s="307">
        <v>109.91170254336846</v>
      </c>
      <c r="FB37" s="307">
        <v>128.37964470616353</v>
      </c>
      <c r="FC37" s="307">
        <v>-18.467942162795069</v>
      </c>
      <c r="FD37" s="306">
        <v>150.93351348000002</v>
      </c>
      <c r="FE37" s="306">
        <v>140.50325708</v>
      </c>
      <c r="FF37" s="306">
        <v>10.430256400000019</v>
      </c>
      <c r="FG37" s="304">
        <v>170.75770260000002</v>
      </c>
      <c r="FH37" s="304">
        <v>158.12851555</v>
      </c>
      <c r="FI37" s="304">
        <v>12.629187050000013</v>
      </c>
      <c r="FJ37" s="306">
        <v>134.42304399812269</v>
      </c>
      <c r="FK37" s="306">
        <v>137.90309881249735</v>
      </c>
      <c r="FL37" s="306">
        <v>-3.4800548143746539</v>
      </c>
      <c r="FM37" s="307">
        <v>151.8054750254779</v>
      </c>
      <c r="FN37" s="307">
        <v>157.73936824496343</v>
      </c>
      <c r="FO37" s="307">
        <v>-5.9338932194855261</v>
      </c>
      <c r="FP37" s="306">
        <v>219.56788791399541</v>
      </c>
      <c r="FQ37" s="306">
        <v>204.92575948911264</v>
      </c>
      <c r="FR37" s="306">
        <v>14.64212842488277</v>
      </c>
      <c r="FS37" s="307">
        <v>268.34566592153067</v>
      </c>
      <c r="FT37" s="307">
        <v>255.73914724740362</v>
      </c>
      <c r="FU37" s="307">
        <v>12.606518674127045</v>
      </c>
    </row>
    <row r="38" spans="1:177" ht="13.9" customHeight="1" x14ac:dyDescent="0.2">
      <c r="A38" s="284"/>
      <c r="G38" s="272" t="s">
        <v>512</v>
      </c>
      <c r="H38" s="272"/>
      <c r="J38" s="303"/>
      <c r="K38" s="303"/>
      <c r="L38" s="303"/>
      <c r="M38" s="304"/>
      <c r="N38" s="304"/>
      <c r="O38" s="304"/>
      <c r="P38" s="303"/>
      <c r="Q38" s="303"/>
      <c r="R38" s="303"/>
      <c r="S38" s="304"/>
      <c r="T38" s="304"/>
      <c r="U38" s="304"/>
      <c r="V38" s="303"/>
      <c r="W38" s="303"/>
      <c r="X38" s="303"/>
      <c r="Y38" s="304"/>
      <c r="Z38" s="304"/>
      <c r="AA38" s="304"/>
      <c r="AB38" s="303"/>
      <c r="AC38" s="303"/>
      <c r="AD38" s="303"/>
      <c r="AE38" s="304"/>
      <c r="AF38" s="304"/>
      <c r="AG38" s="304"/>
      <c r="AH38" s="303"/>
      <c r="AI38" s="303"/>
      <c r="AJ38" s="303"/>
      <c r="AK38" s="304"/>
      <c r="AL38" s="304"/>
      <c r="AM38" s="304"/>
      <c r="AN38" s="303"/>
      <c r="AO38" s="303"/>
      <c r="AP38" s="303"/>
      <c r="AQ38" s="304"/>
      <c r="AR38" s="304"/>
      <c r="AS38" s="304"/>
      <c r="AT38" s="303"/>
      <c r="AU38" s="303"/>
      <c r="AV38" s="303"/>
      <c r="AW38" s="304"/>
      <c r="AX38" s="304"/>
      <c r="AY38" s="304"/>
      <c r="AZ38" s="303"/>
      <c r="BA38" s="303"/>
      <c r="BB38" s="303"/>
      <c r="BC38" s="304"/>
      <c r="BD38" s="304"/>
      <c r="BE38" s="304"/>
      <c r="BF38" s="303"/>
      <c r="BG38" s="303"/>
      <c r="BH38" s="303"/>
      <c r="BI38" s="304"/>
      <c r="BJ38" s="304"/>
      <c r="BK38" s="304"/>
      <c r="BL38" s="303"/>
      <c r="BM38" s="303"/>
      <c r="BN38" s="303"/>
      <c r="BO38" s="304"/>
      <c r="BP38" s="304"/>
      <c r="BQ38" s="304"/>
      <c r="BR38" s="305"/>
      <c r="BS38" s="305"/>
      <c r="BT38" s="305"/>
      <c r="BU38" s="304"/>
      <c r="BV38" s="304"/>
      <c r="BW38" s="304"/>
      <c r="BX38" s="303"/>
      <c r="BY38" s="303"/>
      <c r="BZ38" s="303"/>
      <c r="CA38" s="304"/>
      <c r="CB38" s="304"/>
      <c r="CC38" s="304"/>
      <c r="CD38" s="303"/>
      <c r="CE38" s="303"/>
      <c r="CF38" s="303"/>
      <c r="CG38" s="304"/>
      <c r="CH38" s="304"/>
      <c r="CI38" s="304"/>
      <c r="CJ38" s="303"/>
      <c r="CK38" s="303"/>
      <c r="CL38" s="303"/>
      <c r="CM38" s="304"/>
      <c r="CN38" s="304"/>
      <c r="CO38" s="304"/>
      <c r="CP38" s="303"/>
      <c r="CQ38" s="303"/>
      <c r="CR38" s="303"/>
      <c r="CS38" s="304"/>
      <c r="CT38" s="304"/>
      <c r="CU38" s="304"/>
      <c r="CV38" s="303"/>
      <c r="CW38" s="303"/>
      <c r="CX38" s="303"/>
      <c r="CY38" s="304"/>
      <c r="CZ38" s="304"/>
      <c r="DA38" s="304"/>
      <c r="DB38" s="303"/>
      <c r="DC38" s="303"/>
      <c r="DD38" s="303"/>
      <c r="DE38" s="304"/>
      <c r="DF38" s="304"/>
      <c r="DG38" s="304"/>
      <c r="DH38" s="303"/>
      <c r="DI38" s="303"/>
      <c r="DJ38" s="303"/>
      <c r="DK38" s="304"/>
      <c r="DL38" s="304"/>
      <c r="DM38" s="304"/>
      <c r="DN38" s="303"/>
      <c r="DO38" s="303"/>
      <c r="DP38" s="303"/>
      <c r="DQ38" s="304"/>
      <c r="DR38" s="304"/>
      <c r="DS38" s="304"/>
      <c r="DT38" s="303"/>
      <c r="DU38" s="303"/>
      <c r="DV38" s="303"/>
      <c r="DW38" s="304"/>
      <c r="DX38" s="304"/>
      <c r="DY38" s="304"/>
      <c r="DZ38" s="303"/>
      <c r="EA38" s="303"/>
      <c r="EB38" s="303"/>
      <c r="EC38" s="304"/>
      <c r="ED38" s="304"/>
      <c r="EE38" s="304"/>
      <c r="EF38" s="303"/>
      <c r="EG38" s="303"/>
      <c r="EH38" s="303"/>
      <c r="EI38" s="304"/>
      <c r="EJ38" s="304"/>
      <c r="EK38" s="304"/>
      <c r="EL38" s="303">
        <v>3.7819238099999994</v>
      </c>
      <c r="EM38" s="303">
        <v>18.840305469999997</v>
      </c>
      <c r="EN38" s="303">
        <v>-15.058381659999998</v>
      </c>
      <c r="EO38" s="304">
        <v>5.2691976999999994</v>
      </c>
      <c r="EP38" s="304">
        <v>17.055745899999998</v>
      </c>
      <c r="EQ38" s="304">
        <v>-11.786548199999999</v>
      </c>
      <c r="ER38" s="303">
        <v>5.6654543000000004</v>
      </c>
      <c r="ES38" s="303">
        <v>18.357578930000003</v>
      </c>
      <c r="ET38" s="303">
        <v>-12.692124630000002</v>
      </c>
      <c r="EU38" s="304">
        <v>5.2433297499999991</v>
      </c>
      <c r="EV38" s="304">
        <v>17.72090665</v>
      </c>
      <c r="EW38" s="304">
        <v>-12.477576900000001</v>
      </c>
      <c r="EX38" s="306">
        <v>10.373883939999999</v>
      </c>
      <c r="EY38" s="306">
        <v>23.377006569999995</v>
      </c>
      <c r="EZ38" s="306">
        <v>-13.003122629999996</v>
      </c>
      <c r="FA38" s="307">
        <v>12.139070558785003</v>
      </c>
      <c r="FB38" s="307">
        <v>24.034753600042897</v>
      </c>
      <c r="FC38" s="307">
        <v>-11.895683041257895</v>
      </c>
      <c r="FD38" s="306">
        <v>13.153035550000002</v>
      </c>
      <c r="FE38" s="306">
        <v>28.043867399999996</v>
      </c>
      <c r="FF38" s="306">
        <v>-14.890831849999994</v>
      </c>
      <c r="FG38" s="304">
        <v>13.761991139999999</v>
      </c>
      <c r="FH38" s="304">
        <v>24.294541710000004</v>
      </c>
      <c r="FI38" s="304">
        <v>-10.532550570000005</v>
      </c>
      <c r="FJ38" s="306">
        <v>8.465726208807471</v>
      </c>
      <c r="FK38" s="306">
        <v>27.640572719261232</v>
      </c>
      <c r="FL38" s="306">
        <v>-19.174846510453762</v>
      </c>
      <c r="FM38" s="307">
        <v>10.468052521946134</v>
      </c>
      <c r="FN38" s="307">
        <v>21.894394404338144</v>
      </c>
      <c r="FO38" s="307">
        <v>-11.426341882392009</v>
      </c>
      <c r="FP38" s="306">
        <v>10.565488056595118</v>
      </c>
      <c r="FQ38" s="306">
        <v>26.553073268678482</v>
      </c>
      <c r="FR38" s="306">
        <v>-15.987585212083363</v>
      </c>
      <c r="FS38" s="307">
        <v>12.399265594136541</v>
      </c>
      <c r="FT38" s="307">
        <v>39.904299420596502</v>
      </c>
      <c r="FU38" s="307">
        <v>-27.505033826459961</v>
      </c>
    </row>
    <row r="39" spans="1:177" ht="13.9" customHeight="1" x14ac:dyDescent="0.2">
      <c r="A39" s="284"/>
      <c r="G39" s="272" t="s">
        <v>513</v>
      </c>
      <c r="H39" s="272"/>
      <c r="J39" s="303"/>
      <c r="K39" s="303"/>
      <c r="L39" s="303"/>
      <c r="M39" s="304"/>
      <c r="N39" s="304"/>
      <c r="O39" s="304"/>
      <c r="P39" s="303"/>
      <c r="Q39" s="303"/>
      <c r="R39" s="303"/>
      <c r="S39" s="304"/>
      <c r="T39" s="304"/>
      <c r="U39" s="304"/>
      <c r="V39" s="303"/>
      <c r="W39" s="303"/>
      <c r="X39" s="303"/>
      <c r="Y39" s="304"/>
      <c r="Z39" s="304"/>
      <c r="AA39" s="304"/>
      <c r="AB39" s="303"/>
      <c r="AC39" s="303"/>
      <c r="AD39" s="303"/>
      <c r="AE39" s="304"/>
      <c r="AF39" s="304"/>
      <c r="AG39" s="304"/>
      <c r="AH39" s="303"/>
      <c r="AI39" s="303"/>
      <c r="AJ39" s="303"/>
      <c r="AK39" s="304"/>
      <c r="AL39" s="304"/>
      <c r="AM39" s="304"/>
      <c r="AN39" s="303"/>
      <c r="AO39" s="303"/>
      <c r="AP39" s="303"/>
      <c r="AQ39" s="304"/>
      <c r="AR39" s="304"/>
      <c r="AS39" s="304"/>
      <c r="AT39" s="303"/>
      <c r="AU39" s="303"/>
      <c r="AV39" s="303"/>
      <c r="AW39" s="304"/>
      <c r="AX39" s="304"/>
      <c r="AY39" s="304"/>
      <c r="AZ39" s="303"/>
      <c r="BA39" s="303"/>
      <c r="BB39" s="303"/>
      <c r="BC39" s="304"/>
      <c r="BD39" s="304"/>
      <c r="BE39" s="304"/>
      <c r="BF39" s="303"/>
      <c r="BG39" s="303"/>
      <c r="BH39" s="303"/>
      <c r="BI39" s="304"/>
      <c r="BJ39" s="304"/>
      <c r="BK39" s="304"/>
      <c r="BL39" s="303"/>
      <c r="BM39" s="303"/>
      <c r="BN39" s="303"/>
      <c r="BO39" s="304"/>
      <c r="BP39" s="304"/>
      <c r="BQ39" s="304"/>
      <c r="BR39" s="305"/>
      <c r="BS39" s="305"/>
      <c r="BT39" s="305"/>
      <c r="BU39" s="304"/>
      <c r="BV39" s="304"/>
      <c r="BW39" s="304"/>
      <c r="BX39" s="303"/>
      <c r="BY39" s="303"/>
      <c r="BZ39" s="303"/>
      <c r="CA39" s="304"/>
      <c r="CB39" s="304"/>
      <c r="CC39" s="304"/>
      <c r="CD39" s="303"/>
      <c r="CE39" s="303"/>
      <c r="CF39" s="303"/>
      <c r="CG39" s="304"/>
      <c r="CH39" s="304"/>
      <c r="CI39" s="304"/>
      <c r="CJ39" s="303"/>
      <c r="CK39" s="303"/>
      <c r="CL39" s="303"/>
      <c r="CM39" s="304"/>
      <c r="CN39" s="304"/>
      <c r="CO39" s="304"/>
      <c r="CP39" s="303"/>
      <c r="CQ39" s="303"/>
      <c r="CR39" s="303"/>
      <c r="CS39" s="304"/>
      <c r="CT39" s="304"/>
      <c r="CU39" s="304"/>
      <c r="CV39" s="303"/>
      <c r="CW39" s="303"/>
      <c r="CX39" s="303"/>
      <c r="CY39" s="304"/>
      <c r="CZ39" s="304"/>
      <c r="DA39" s="304"/>
      <c r="DB39" s="303"/>
      <c r="DC39" s="303"/>
      <c r="DD39" s="303"/>
      <c r="DE39" s="304"/>
      <c r="DF39" s="304"/>
      <c r="DG39" s="304"/>
      <c r="DH39" s="303"/>
      <c r="DI39" s="303"/>
      <c r="DJ39" s="303"/>
      <c r="DK39" s="304"/>
      <c r="DL39" s="304"/>
      <c r="DM39" s="304"/>
      <c r="DN39" s="303"/>
      <c r="DO39" s="303"/>
      <c r="DP39" s="303"/>
      <c r="DQ39" s="304"/>
      <c r="DR39" s="304"/>
      <c r="DS39" s="304"/>
      <c r="DT39" s="303"/>
      <c r="DU39" s="303"/>
      <c r="DV39" s="303"/>
      <c r="DW39" s="304"/>
      <c r="DX39" s="304"/>
      <c r="DY39" s="304"/>
      <c r="DZ39" s="303"/>
      <c r="EA39" s="303"/>
      <c r="EB39" s="303"/>
      <c r="EC39" s="304"/>
      <c r="ED39" s="304"/>
      <c r="EE39" s="304"/>
      <c r="EF39" s="303"/>
      <c r="EG39" s="303"/>
      <c r="EH39" s="303"/>
      <c r="EI39" s="304"/>
      <c r="EJ39" s="304"/>
      <c r="EK39" s="304"/>
      <c r="EL39" s="303">
        <v>19.79204953</v>
      </c>
      <c r="EM39" s="303">
        <v>23.332578779999995</v>
      </c>
      <c r="EN39" s="303">
        <v>-3.5405292499999952</v>
      </c>
      <c r="EO39" s="304">
        <v>35.187954390000002</v>
      </c>
      <c r="EP39" s="304">
        <v>32.240026459999996</v>
      </c>
      <c r="EQ39" s="304">
        <v>2.9479279300000059</v>
      </c>
      <c r="ER39" s="303">
        <v>38.026617959999996</v>
      </c>
      <c r="ES39" s="303">
        <v>31.848656430000005</v>
      </c>
      <c r="ET39" s="303">
        <v>6.1779615299999904</v>
      </c>
      <c r="EU39" s="304">
        <v>35.573007390000001</v>
      </c>
      <c r="EV39" s="304">
        <v>34.514663010000007</v>
      </c>
      <c r="EW39" s="304">
        <v>1.0583443799999941</v>
      </c>
      <c r="EX39" s="306">
        <v>43.50206592</v>
      </c>
      <c r="EY39" s="306">
        <v>53.074313040000021</v>
      </c>
      <c r="EZ39" s="306">
        <v>-9.5722471200000214</v>
      </c>
      <c r="FA39" s="307">
        <v>37.809046422317749</v>
      </c>
      <c r="FB39" s="307">
        <v>41.406633015428788</v>
      </c>
      <c r="FC39" s="307">
        <v>-3.5975865931110391</v>
      </c>
      <c r="FD39" s="306">
        <v>69.052145190000005</v>
      </c>
      <c r="FE39" s="306">
        <v>51.403555230000009</v>
      </c>
      <c r="FF39" s="306">
        <v>17.648589959999995</v>
      </c>
      <c r="FG39" s="304">
        <v>73.416619320000009</v>
      </c>
      <c r="FH39" s="304">
        <v>48.134330529999993</v>
      </c>
      <c r="FI39" s="304">
        <v>25.282288790000017</v>
      </c>
      <c r="FJ39" s="306">
        <v>68.623883310189171</v>
      </c>
      <c r="FK39" s="306">
        <v>42.01734746655454</v>
      </c>
      <c r="FL39" s="306">
        <v>26.606535843634632</v>
      </c>
      <c r="FM39" s="307">
        <v>69.663691446419051</v>
      </c>
      <c r="FN39" s="307">
        <v>44.812886653732633</v>
      </c>
      <c r="FO39" s="307">
        <v>24.850804792686418</v>
      </c>
      <c r="FP39" s="306">
        <v>84.538905471043918</v>
      </c>
      <c r="FQ39" s="306">
        <v>40.358992320512193</v>
      </c>
      <c r="FR39" s="306">
        <v>44.179913150531725</v>
      </c>
      <c r="FS39" s="307">
        <v>102.72370611711442</v>
      </c>
      <c r="FT39" s="307">
        <v>60.969873881932827</v>
      </c>
      <c r="FU39" s="307">
        <v>41.753832235181591</v>
      </c>
    </row>
    <row r="40" spans="1:177" ht="13.9" customHeight="1" x14ac:dyDescent="0.2">
      <c r="A40" s="284"/>
      <c r="G40" s="272" t="s">
        <v>514</v>
      </c>
      <c r="H40" s="272"/>
      <c r="J40" s="303"/>
      <c r="K40" s="303"/>
      <c r="L40" s="303"/>
      <c r="M40" s="304"/>
      <c r="N40" s="304"/>
      <c r="O40" s="304"/>
      <c r="P40" s="303"/>
      <c r="Q40" s="303"/>
      <c r="R40" s="303"/>
      <c r="S40" s="304"/>
      <c r="T40" s="304"/>
      <c r="U40" s="304"/>
      <c r="V40" s="303"/>
      <c r="W40" s="303"/>
      <c r="X40" s="303"/>
      <c r="Y40" s="304"/>
      <c r="Z40" s="304"/>
      <c r="AA40" s="304"/>
      <c r="AB40" s="303"/>
      <c r="AC40" s="303"/>
      <c r="AD40" s="303"/>
      <c r="AE40" s="304"/>
      <c r="AF40" s="304"/>
      <c r="AG40" s="304"/>
      <c r="AH40" s="303"/>
      <c r="AI40" s="303"/>
      <c r="AJ40" s="303"/>
      <c r="AK40" s="304"/>
      <c r="AL40" s="304"/>
      <c r="AM40" s="304"/>
      <c r="AN40" s="303"/>
      <c r="AO40" s="303"/>
      <c r="AP40" s="303"/>
      <c r="AQ40" s="304"/>
      <c r="AR40" s="304"/>
      <c r="AS40" s="304"/>
      <c r="AT40" s="303"/>
      <c r="AU40" s="303"/>
      <c r="AV40" s="303"/>
      <c r="AW40" s="304"/>
      <c r="AX40" s="304"/>
      <c r="AY40" s="304"/>
      <c r="AZ40" s="303"/>
      <c r="BA40" s="303"/>
      <c r="BB40" s="303"/>
      <c r="BC40" s="304"/>
      <c r="BD40" s="304"/>
      <c r="BE40" s="304"/>
      <c r="BF40" s="303"/>
      <c r="BG40" s="303"/>
      <c r="BH40" s="303"/>
      <c r="BI40" s="304"/>
      <c r="BJ40" s="304"/>
      <c r="BK40" s="304"/>
      <c r="BL40" s="303"/>
      <c r="BM40" s="303"/>
      <c r="BN40" s="303"/>
      <c r="BO40" s="304"/>
      <c r="BP40" s="304"/>
      <c r="BQ40" s="304"/>
      <c r="BR40" s="305"/>
      <c r="BS40" s="305"/>
      <c r="BT40" s="305"/>
      <c r="BU40" s="304"/>
      <c r="BV40" s="304"/>
      <c r="BW40" s="304"/>
      <c r="BX40" s="303"/>
      <c r="BY40" s="303"/>
      <c r="BZ40" s="303"/>
      <c r="CA40" s="304"/>
      <c r="CB40" s="304"/>
      <c r="CC40" s="304"/>
      <c r="CD40" s="303"/>
      <c r="CE40" s="303"/>
      <c r="CF40" s="303"/>
      <c r="CG40" s="304"/>
      <c r="CH40" s="304"/>
      <c r="CI40" s="304"/>
      <c r="CJ40" s="303"/>
      <c r="CK40" s="303"/>
      <c r="CL40" s="303"/>
      <c r="CM40" s="304"/>
      <c r="CN40" s="304"/>
      <c r="CO40" s="304"/>
      <c r="CP40" s="303"/>
      <c r="CQ40" s="303"/>
      <c r="CR40" s="303"/>
      <c r="CS40" s="304"/>
      <c r="CT40" s="304"/>
      <c r="CU40" s="304"/>
      <c r="CV40" s="303"/>
      <c r="CW40" s="303"/>
      <c r="CX40" s="303"/>
      <c r="CY40" s="304"/>
      <c r="CZ40" s="304"/>
      <c r="DA40" s="304"/>
      <c r="DB40" s="303"/>
      <c r="DC40" s="303"/>
      <c r="DD40" s="303"/>
      <c r="DE40" s="304"/>
      <c r="DF40" s="304"/>
      <c r="DG40" s="304"/>
      <c r="DH40" s="303"/>
      <c r="DI40" s="303"/>
      <c r="DJ40" s="303"/>
      <c r="DK40" s="304"/>
      <c r="DL40" s="304"/>
      <c r="DM40" s="304"/>
      <c r="DN40" s="303"/>
      <c r="DO40" s="303"/>
      <c r="DP40" s="303"/>
      <c r="DQ40" s="304"/>
      <c r="DR40" s="304"/>
      <c r="DS40" s="304"/>
      <c r="DT40" s="303"/>
      <c r="DU40" s="303"/>
      <c r="DV40" s="303"/>
      <c r="DW40" s="304"/>
      <c r="DX40" s="304"/>
      <c r="DY40" s="304"/>
      <c r="DZ40" s="303"/>
      <c r="EA40" s="303"/>
      <c r="EB40" s="303"/>
      <c r="EC40" s="304"/>
      <c r="ED40" s="304"/>
      <c r="EE40" s="304"/>
      <c r="EF40" s="303"/>
      <c r="EG40" s="303"/>
      <c r="EH40" s="303"/>
      <c r="EI40" s="304"/>
      <c r="EJ40" s="304"/>
      <c r="EK40" s="304"/>
      <c r="EL40" s="303">
        <v>38.145312450000006</v>
      </c>
      <c r="EM40" s="303">
        <v>31.60501309</v>
      </c>
      <c r="EN40" s="303">
        <v>6.5402993600000059</v>
      </c>
      <c r="EO40" s="304">
        <v>41.963862410000004</v>
      </c>
      <c r="EP40" s="304">
        <v>40.245091989999999</v>
      </c>
      <c r="EQ40" s="304">
        <v>1.7187704200000056</v>
      </c>
      <c r="ER40" s="303">
        <v>38.607172160000005</v>
      </c>
      <c r="ES40" s="303">
        <v>41.724068009999996</v>
      </c>
      <c r="ET40" s="303">
        <v>-3.1168958499999917</v>
      </c>
      <c r="EU40" s="304">
        <v>42.935711130000001</v>
      </c>
      <c r="EV40" s="304">
        <v>36.108984119999995</v>
      </c>
      <c r="EW40" s="304">
        <v>6.8267270100000061</v>
      </c>
      <c r="EX40" s="306">
        <v>54.696180719999994</v>
      </c>
      <c r="EY40" s="306">
        <v>59.766170349999996</v>
      </c>
      <c r="EZ40" s="306">
        <v>-5.069989630000002</v>
      </c>
      <c r="FA40" s="307">
        <v>59.963585562265735</v>
      </c>
      <c r="FB40" s="307">
        <v>62.938258090691861</v>
      </c>
      <c r="FC40" s="307">
        <v>-2.974672528426126</v>
      </c>
      <c r="FD40" s="306">
        <v>68.728332740000013</v>
      </c>
      <c r="FE40" s="306">
        <v>61.055834449999992</v>
      </c>
      <c r="FF40" s="306">
        <v>7.6724982900000214</v>
      </c>
      <c r="FG40" s="304">
        <v>83.57909214</v>
      </c>
      <c r="FH40" s="304">
        <v>85.699643310000013</v>
      </c>
      <c r="FI40" s="304">
        <v>-2.120551170000013</v>
      </c>
      <c r="FJ40" s="306">
        <v>57.333434479126041</v>
      </c>
      <c r="FK40" s="306">
        <v>68.245178626681565</v>
      </c>
      <c r="FL40" s="306">
        <v>-10.911744147555524</v>
      </c>
      <c r="FM40" s="307">
        <v>71.673731057112718</v>
      </c>
      <c r="FN40" s="307">
        <v>91.032087186892682</v>
      </c>
      <c r="FO40" s="307">
        <v>-19.358356129779963</v>
      </c>
      <c r="FP40" s="306">
        <v>124.46349438635636</v>
      </c>
      <c r="FQ40" s="306">
        <v>138.01369389992198</v>
      </c>
      <c r="FR40" s="306">
        <v>-13.550199513565616</v>
      </c>
      <c r="FS40" s="307">
        <v>153.22269421027971</v>
      </c>
      <c r="FT40" s="307">
        <v>154.86497394487429</v>
      </c>
      <c r="FU40" s="307">
        <v>-1.642279734594581</v>
      </c>
    </row>
    <row r="41" spans="1:177" ht="13.9" customHeight="1" x14ac:dyDescent="0.2">
      <c r="A41" s="284"/>
      <c r="F41" s="272" t="s">
        <v>515</v>
      </c>
      <c r="J41" s="303"/>
      <c r="K41" s="303"/>
      <c r="L41" s="303"/>
      <c r="M41" s="304"/>
      <c r="N41" s="304"/>
      <c r="O41" s="304"/>
      <c r="P41" s="303"/>
      <c r="Q41" s="303"/>
      <c r="R41" s="303"/>
      <c r="S41" s="304"/>
      <c r="T41" s="304"/>
      <c r="U41" s="304"/>
      <c r="V41" s="303"/>
      <c r="W41" s="303"/>
      <c r="X41" s="303"/>
      <c r="Y41" s="304"/>
      <c r="Z41" s="304"/>
      <c r="AA41" s="304"/>
      <c r="AB41" s="303"/>
      <c r="AC41" s="303"/>
      <c r="AD41" s="303"/>
      <c r="AE41" s="304"/>
      <c r="AF41" s="304"/>
      <c r="AG41" s="304"/>
      <c r="AH41" s="303"/>
      <c r="AI41" s="303"/>
      <c r="AJ41" s="303"/>
      <c r="AK41" s="304"/>
      <c r="AL41" s="304"/>
      <c r="AM41" s="304"/>
      <c r="AN41" s="303"/>
      <c r="AO41" s="303"/>
      <c r="AP41" s="303"/>
      <c r="AQ41" s="304"/>
      <c r="AR41" s="304"/>
      <c r="AS41" s="304"/>
      <c r="AT41" s="303"/>
      <c r="AU41" s="303"/>
      <c r="AV41" s="303"/>
      <c r="AW41" s="304"/>
      <c r="AX41" s="304"/>
      <c r="AY41" s="304"/>
      <c r="AZ41" s="303"/>
      <c r="BA41" s="303"/>
      <c r="BB41" s="303"/>
      <c r="BC41" s="304"/>
      <c r="BD41" s="304"/>
      <c r="BE41" s="304"/>
      <c r="BF41" s="303"/>
      <c r="BG41" s="303"/>
      <c r="BH41" s="303"/>
      <c r="BI41" s="304"/>
      <c r="BJ41" s="304"/>
      <c r="BK41" s="304"/>
      <c r="BL41" s="303"/>
      <c r="BM41" s="303"/>
      <c r="BN41" s="303"/>
      <c r="BO41" s="304"/>
      <c r="BP41" s="304"/>
      <c r="BQ41" s="304"/>
      <c r="BR41" s="305"/>
      <c r="BS41" s="305"/>
      <c r="BT41" s="305"/>
      <c r="BU41" s="304"/>
      <c r="BV41" s="304"/>
      <c r="BW41" s="304"/>
      <c r="BX41" s="303"/>
      <c r="BY41" s="303"/>
      <c r="BZ41" s="303"/>
      <c r="CA41" s="304"/>
      <c r="CB41" s="304"/>
      <c r="CC41" s="304"/>
      <c r="CD41" s="303"/>
      <c r="CE41" s="303"/>
      <c r="CF41" s="303"/>
      <c r="CG41" s="304"/>
      <c r="CH41" s="304"/>
      <c r="CI41" s="304"/>
      <c r="CJ41" s="303"/>
      <c r="CK41" s="303"/>
      <c r="CL41" s="303"/>
      <c r="CM41" s="304"/>
      <c r="CN41" s="304"/>
      <c r="CO41" s="304"/>
      <c r="CP41" s="303"/>
      <c r="CQ41" s="303"/>
      <c r="CR41" s="303"/>
      <c r="CS41" s="304"/>
      <c r="CT41" s="304"/>
      <c r="CU41" s="304"/>
      <c r="CV41" s="303"/>
      <c r="CW41" s="303"/>
      <c r="CX41" s="303"/>
      <c r="CY41" s="304"/>
      <c r="CZ41" s="304"/>
      <c r="DA41" s="304"/>
      <c r="DB41" s="303"/>
      <c r="DC41" s="303"/>
      <c r="DD41" s="303"/>
      <c r="DE41" s="304"/>
      <c r="DF41" s="304"/>
      <c r="DG41" s="304"/>
      <c r="DH41" s="303"/>
      <c r="DI41" s="303"/>
      <c r="DJ41" s="303"/>
      <c r="DK41" s="304"/>
      <c r="DL41" s="304"/>
      <c r="DM41" s="304"/>
      <c r="DN41" s="303"/>
      <c r="DO41" s="303"/>
      <c r="DP41" s="303"/>
      <c r="DQ41" s="304"/>
      <c r="DR41" s="304"/>
      <c r="DS41" s="304"/>
      <c r="DT41" s="303"/>
      <c r="DU41" s="303"/>
      <c r="DV41" s="303"/>
      <c r="DW41" s="304"/>
      <c r="DX41" s="304"/>
      <c r="DY41" s="304"/>
      <c r="DZ41" s="303">
        <v>0</v>
      </c>
      <c r="EA41" s="303">
        <v>0</v>
      </c>
      <c r="EB41" s="303">
        <v>0</v>
      </c>
      <c r="EC41" s="304">
        <v>0</v>
      </c>
      <c r="ED41" s="304">
        <v>0</v>
      </c>
      <c r="EE41" s="304">
        <v>0</v>
      </c>
      <c r="EF41" s="303">
        <v>0</v>
      </c>
      <c r="EG41" s="303">
        <v>0</v>
      </c>
      <c r="EH41" s="303">
        <v>0</v>
      </c>
      <c r="EI41" s="304">
        <v>0</v>
      </c>
      <c r="EJ41" s="304">
        <v>0</v>
      </c>
      <c r="EK41" s="304">
        <v>0</v>
      </c>
      <c r="EL41" s="303">
        <v>9.6905468199999998</v>
      </c>
      <c r="EM41" s="303">
        <v>1.42323255</v>
      </c>
      <c r="EN41" s="303">
        <v>8.26731427</v>
      </c>
      <c r="EO41" s="304">
        <v>7.4950565800000017</v>
      </c>
      <c r="EP41" s="304">
        <v>4.7508070600000005</v>
      </c>
      <c r="EQ41" s="304">
        <v>2.7442495200000012</v>
      </c>
      <c r="ER41" s="303">
        <v>8.3880385400000019</v>
      </c>
      <c r="ES41" s="303">
        <v>1.3949624699999998</v>
      </c>
      <c r="ET41" s="303">
        <v>6.9930760700000025</v>
      </c>
      <c r="EU41" s="304">
        <v>9.7608955099999992</v>
      </c>
      <c r="EV41" s="304">
        <v>3.4514371999999995</v>
      </c>
      <c r="EW41" s="304">
        <v>6.3094583100000001</v>
      </c>
      <c r="EX41" s="306">
        <v>5.1057577700000003</v>
      </c>
      <c r="EY41" s="306">
        <v>3.9699757</v>
      </c>
      <c r="EZ41" s="306">
        <v>1.1357820700000003</v>
      </c>
      <c r="FA41" s="307">
        <v>7.4418089757529513</v>
      </c>
      <c r="FB41" s="307">
        <v>3.4598376832265045</v>
      </c>
      <c r="FC41" s="307">
        <v>3.9819712925264468</v>
      </c>
      <c r="FD41" s="306">
        <v>1.8633286200000001</v>
      </c>
      <c r="FE41" s="306">
        <v>1.9602480900000003</v>
      </c>
      <c r="FF41" s="306">
        <v>-9.691947000000023E-2</v>
      </c>
      <c r="FG41" s="304">
        <v>4.3201223100000004</v>
      </c>
      <c r="FH41" s="304">
        <v>5.8322961099999997</v>
      </c>
      <c r="FI41" s="304">
        <v>-1.5121737999999993</v>
      </c>
      <c r="FJ41" s="306">
        <v>3.8997430357900713</v>
      </c>
      <c r="FK41" s="306">
        <v>4.6641330242664889</v>
      </c>
      <c r="FL41" s="306">
        <v>-0.76438998847641759</v>
      </c>
      <c r="FM41" s="307">
        <v>2.5764508599191291</v>
      </c>
      <c r="FN41" s="307">
        <v>4.8859404673739881</v>
      </c>
      <c r="FO41" s="307">
        <v>-2.309489607454859</v>
      </c>
      <c r="FP41" s="306">
        <v>4.1573704102638303</v>
      </c>
      <c r="FQ41" s="306">
        <v>6.2548462561584746</v>
      </c>
      <c r="FR41" s="306">
        <v>-2.0974758458946443</v>
      </c>
      <c r="FS41" s="307">
        <v>4.2723755550902229</v>
      </c>
      <c r="FT41" s="307">
        <v>7.7231339559733456</v>
      </c>
      <c r="FU41" s="307">
        <v>-3.4507584008831227</v>
      </c>
    </row>
    <row r="42" spans="1:177" ht="13.9" customHeight="1" x14ac:dyDescent="0.2">
      <c r="A42" s="284"/>
      <c r="F42" s="272" t="s">
        <v>516</v>
      </c>
      <c r="J42" s="303">
        <v>6.6</v>
      </c>
      <c r="K42" s="303">
        <v>11.58</v>
      </c>
      <c r="L42" s="303">
        <v>-4.9800000000000004</v>
      </c>
      <c r="M42" s="304">
        <v>6.51</v>
      </c>
      <c r="N42" s="304">
        <v>13.549999999999999</v>
      </c>
      <c r="O42" s="304">
        <v>-7.0399999999999991</v>
      </c>
      <c r="P42" s="303">
        <v>7.18</v>
      </c>
      <c r="Q42" s="303">
        <v>12.61</v>
      </c>
      <c r="R42" s="303">
        <v>-5.43</v>
      </c>
      <c r="S42" s="304">
        <v>6.41</v>
      </c>
      <c r="T42" s="304">
        <v>13.24</v>
      </c>
      <c r="U42" s="304">
        <v>-6.83</v>
      </c>
      <c r="V42" s="303">
        <v>6.8500003078164511</v>
      </c>
      <c r="W42" s="303">
        <v>18.050000923449353</v>
      </c>
      <c r="X42" s="303">
        <v>-11.200000615632902</v>
      </c>
      <c r="Y42" s="304">
        <v>6.7000000000000011</v>
      </c>
      <c r="Z42" s="304">
        <v>18.57</v>
      </c>
      <c r="AA42" s="304">
        <v>-11.87</v>
      </c>
      <c r="AB42" s="303">
        <v>7.9700014834955493</v>
      </c>
      <c r="AC42" s="303">
        <v>18.250003378827369</v>
      </c>
      <c r="AD42" s="303">
        <v>-10.28000189533182</v>
      </c>
      <c r="AE42" s="304">
        <v>6.9157508645027743</v>
      </c>
      <c r="AF42" s="304">
        <v>18.490002477272657</v>
      </c>
      <c r="AG42" s="304">
        <v>-11.574251612769883</v>
      </c>
      <c r="AH42" s="303">
        <v>7.4</v>
      </c>
      <c r="AI42" s="303">
        <v>18.630000000000003</v>
      </c>
      <c r="AJ42" s="303">
        <v>-11.230000000000002</v>
      </c>
      <c r="AK42" s="304">
        <v>7.3599999999999994</v>
      </c>
      <c r="AL42" s="304">
        <v>19.53</v>
      </c>
      <c r="AM42" s="304">
        <v>-12.170000000000002</v>
      </c>
      <c r="AN42" s="303">
        <v>8.6200005355568621</v>
      </c>
      <c r="AO42" s="303">
        <v>18.640001078425083</v>
      </c>
      <c r="AP42" s="303">
        <v>-10.020000542868221</v>
      </c>
      <c r="AQ42" s="304">
        <v>7.7999999999999989</v>
      </c>
      <c r="AR42" s="304">
        <v>19.72</v>
      </c>
      <c r="AS42" s="304">
        <v>-11.92</v>
      </c>
      <c r="AT42" s="303">
        <v>6.94</v>
      </c>
      <c r="AU42" s="303">
        <v>19.78</v>
      </c>
      <c r="AV42" s="303">
        <v>-12.84</v>
      </c>
      <c r="AW42" s="304">
        <v>7.1899999999999995</v>
      </c>
      <c r="AX42" s="304">
        <v>20.810000000000002</v>
      </c>
      <c r="AY42" s="304">
        <v>-13.620000000000003</v>
      </c>
      <c r="AZ42" s="303">
        <v>8.4300000914626256</v>
      </c>
      <c r="BA42" s="303">
        <v>17.660000223726424</v>
      </c>
      <c r="BB42" s="303">
        <v>-9.2300001322637986</v>
      </c>
      <c r="BC42" s="304">
        <v>8.14</v>
      </c>
      <c r="BD42" s="304">
        <v>20.869999999999997</v>
      </c>
      <c r="BE42" s="304">
        <v>-12.729999999999997</v>
      </c>
      <c r="BF42" s="303">
        <v>6.8699999999999992</v>
      </c>
      <c r="BG42" s="303">
        <v>25.79</v>
      </c>
      <c r="BH42" s="303">
        <v>-18.920000000000002</v>
      </c>
      <c r="BI42" s="304">
        <v>7.470000337816094</v>
      </c>
      <c r="BJ42" s="304">
        <v>16.800000576724234</v>
      </c>
      <c r="BK42" s="304">
        <v>-9.3300002389081396</v>
      </c>
      <c r="BL42" s="303">
        <v>8.870000000000001</v>
      </c>
      <c r="BM42" s="303">
        <v>15.44</v>
      </c>
      <c r="BN42" s="303">
        <v>-6.5699999999999985</v>
      </c>
      <c r="BO42" s="304">
        <v>10.00821428571428</v>
      </c>
      <c r="BP42" s="304">
        <v>9.7571428571428811</v>
      </c>
      <c r="BQ42" s="304">
        <v>0.25107142857139841</v>
      </c>
      <c r="BR42" s="305">
        <v>8.0000003047671093</v>
      </c>
      <c r="BS42" s="305">
        <v>26.10000112012689</v>
      </c>
      <c r="BT42" s="305">
        <v>-18.100000815359781</v>
      </c>
      <c r="BU42" s="304">
        <v>8.7799988008685119</v>
      </c>
      <c r="BV42" s="304">
        <v>19.989997213186477</v>
      </c>
      <c r="BW42" s="304">
        <v>-11.209998412317965</v>
      </c>
      <c r="BX42" s="303">
        <v>8.1700000824865846</v>
      </c>
      <c r="BY42" s="303">
        <v>9.6500001023664446</v>
      </c>
      <c r="BZ42" s="303">
        <v>-1.48000001987986</v>
      </c>
      <c r="CA42" s="304">
        <v>8.94</v>
      </c>
      <c r="CB42" s="304">
        <v>13.03</v>
      </c>
      <c r="CC42" s="304">
        <v>-4.09</v>
      </c>
      <c r="CD42" s="303">
        <v>8.0400000000000009</v>
      </c>
      <c r="CE42" s="303">
        <v>28.5</v>
      </c>
      <c r="CF42" s="303">
        <v>-20.46</v>
      </c>
      <c r="CG42" s="304">
        <v>9</v>
      </c>
      <c r="CH42" s="304">
        <v>21.900000000000002</v>
      </c>
      <c r="CI42" s="304">
        <v>-12.900000000000002</v>
      </c>
      <c r="CJ42" s="303">
        <v>8.3500000000000014</v>
      </c>
      <c r="CK42" s="303">
        <v>10.6</v>
      </c>
      <c r="CL42" s="303">
        <v>-2.2499999999999982</v>
      </c>
      <c r="CM42" s="304">
        <v>9.2100000000000009</v>
      </c>
      <c r="CN42" s="304">
        <v>14.200000000000001</v>
      </c>
      <c r="CO42" s="304">
        <v>-4.99</v>
      </c>
      <c r="CP42" s="303">
        <v>3.6300000000000003</v>
      </c>
      <c r="CQ42" s="303">
        <v>10.6</v>
      </c>
      <c r="CR42" s="303">
        <v>-6.9699999999999989</v>
      </c>
      <c r="CS42" s="304">
        <v>4.24</v>
      </c>
      <c r="CT42" s="304">
        <v>19.990000000000002</v>
      </c>
      <c r="CU42" s="304">
        <v>-15.750000000000002</v>
      </c>
      <c r="CV42" s="303">
        <v>8.49</v>
      </c>
      <c r="CW42" s="303">
        <v>28.5</v>
      </c>
      <c r="CX42" s="303">
        <v>-20.009999999999998</v>
      </c>
      <c r="CY42" s="304">
        <v>4.8900000000000006</v>
      </c>
      <c r="CZ42" s="304">
        <v>17.8</v>
      </c>
      <c r="DA42" s="304">
        <v>-12.91</v>
      </c>
      <c r="DB42" s="303">
        <v>3.84</v>
      </c>
      <c r="DC42" s="303">
        <v>15</v>
      </c>
      <c r="DD42" s="303">
        <v>-11.16</v>
      </c>
      <c r="DE42" s="304">
        <v>4.1350001764811291</v>
      </c>
      <c r="DF42" s="304">
        <v>21.000000896276596</v>
      </c>
      <c r="DG42" s="304">
        <v>-16.865000719795468</v>
      </c>
      <c r="DH42" s="303">
        <v>8.35</v>
      </c>
      <c r="DI42" s="303">
        <v>18</v>
      </c>
      <c r="DJ42" s="303">
        <v>-9.65</v>
      </c>
      <c r="DK42" s="304">
        <v>10</v>
      </c>
      <c r="DL42" s="304">
        <v>16</v>
      </c>
      <c r="DM42" s="304">
        <v>-6</v>
      </c>
      <c r="DN42" s="303">
        <v>5</v>
      </c>
      <c r="DO42" s="303">
        <v>14.5</v>
      </c>
      <c r="DP42" s="303">
        <v>-9.5</v>
      </c>
      <c r="DQ42" s="304">
        <v>4.8</v>
      </c>
      <c r="DR42" s="304">
        <v>13</v>
      </c>
      <c r="DS42" s="304">
        <v>-8.1999999999999993</v>
      </c>
      <c r="DT42" s="303">
        <v>4.3</v>
      </c>
      <c r="DU42" s="303">
        <v>14.5</v>
      </c>
      <c r="DV42" s="303">
        <v>-10.199999999999999</v>
      </c>
      <c r="DW42" s="304">
        <v>4.4000000000000004</v>
      </c>
      <c r="DX42" s="304">
        <v>14.5</v>
      </c>
      <c r="DY42" s="304">
        <v>-10.1</v>
      </c>
      <c r="DZ42" s="303">
        <v>5.3800004838439071</v>
      </c>
      <c r="EA42" s="303">
        <v>15.100001494896006</v>
      </c>
      <c r="EB42" s="303">
        <v>-9.7200010110520978</v>
      </c>
      <c r="EC42" s="304">
        <v>4.5999997115084206</v>
      </c>
      <c r="ED42" s="304">
        <v>12.499999186699831</v>
      </c>
      <c r="EE42" s="304">
        <v>-7.8999994751914109</v>
      </c>
      <c r="EF42" s="303">
        <v>4.1400000000000006</v>
      </c>
      <c r="EG42" s="303">
        <v>14.17</v>
      </c>
      <c r="EH42" s="303">
        <v>-10.029999999999999</v>
      </c>
      <c r="EI42" s="304">
        <v>4.1448</v>
      </c>
      <c r="EJ42" s="304">
        <v>14.065</v>
      </c>
      <c r="EK42" s="304">
        <v>-9.9201999999999995</v>
      </c>
      <c r="EL42" s="303">
        <v>1.7186869400000002</v>
      </c>
      <c r="EM42" s="303">
        <v>0.11329183999999999</v>
      </c>
      <c r="EN42" s="303">
        <v>1.6053951000000002</v>
      </c>
      <c r="EO42" s="304">
        <v>1.6779306999999999</v>
      </c>
      <c r="EP42" s="304">
        <v>5.2938058400000001</v>
      </c>
      <c r="EQ42" s="304">
        <v>-3.61587514</v>
      </c>
      <c r="ER42" s="312">
        <v>0.39059235000000003</v>
      </c>
      <c r="ES42" s="303">
        <v>0.84725985000000015</v>
      </c>
      <c r="ET42" s="312">
        <v>-0.45666750000000012</v>
      </c>
      <c r="EU42" s="304">
        <v>2.7302615299999999</v>
      </c>
      <c r="EV42" s="304">
        <v>1.2124948999999998</v>
      </c>
      <c r="EW42" s="304">
        <v>1.5177666300000001</v>
      </c>
      <c r="EX42" s="306">
        <v>0.50091688000000001</v>
      </c>
      <c r="EY42" s="306">
        <v>0.57188992999999999</v>
      </c>
      <c r="EZ42" s="315">
        <v>-7.0973049999999982E-2</v>
      </c>
      <c r="FA42" s="307">
        <v>10.68631124135751</v>
      </c>
      <c r="FB42" s="307">
        <v>0.97609892850348423</v>
      </c>
      <c r="FC42" s="307">
        <v>9.7102123128540256</v>
      </c>
      <c r="FD42" s="306">
        <v>19.92610917</v>
      </c>
      <c r="FE42" s="306">
        <v>0.87906669999999998</v>
      </c>
      <c r="FF42" s="306">
        <v>19.047042470000001</v>
      </c>
      <c r="FG42" s="304">
        <v>4.6624567200000007</v>
      </c>
      <c r="FH42" s="304">
        <v>248.36538362000005</v>
      </c>
      <c r="FI42" s="304">
        <v>-243.70292690000005</v>
      </c>
      <c r="FJ42" s="306">
        <v>3.8934950437284086</v>
      </c>
      <c r="FK42" s="306">
        <v>3.2308266577938802</v>
      </c>
      <c r="FL42" s="315">
        <v>0.66266838593452837</v>
      </c>
      <c r="FM42" s="307">
        <v>3.8112098667190279</v>
      </c>
      <c r="FN42" s="307">
        <v>1.2181226140721204</v>
      </c>
      <c r="FO42" s="307">
        <v>2.5930872526469075</v>
      </c>
      <c r="FP42" s="306">
        <v>2.253928303145659</v>
      </c>
      <c r="FQ42" s="306">
        <v>1.0917042137551789</v>
      </c>
      <c r="FR42" s="315">
        <v>1.1622240893904801</v>
      </c>
      <c r="FS42" s="307">
        <v>2.7265832155834344</v>
      </c>
      <c r="FT42" s="307">
        <v>1.7299114651390042</v>
      </c>
      <c r="FU42" s="307">
        <v>0.99667175044443024</v>
      </c>
    </row>
    <row r="43" spans="1:177" ht="13.9" customHeight="1" x14ac:dyDescent="0.2">
      <c r="A43" s="284"/>
      <c r="J43" s="303"/>
      <c r="K43" s="303"/>
      <c r="L43" s="303"/>
      <c r="M43" s="304"/>
      <c r="N43" s="304"/>
      <c r="O43" s="304"/>
      <c r="P43" s="303"/>
      <c r="Q43" s="303"/>
      <c r="R43" s="303"/>
      <c r="S43" s="304"/>
      <c r="T43" s="304"/>
      <c r="U43" s="304"/>
      <c r="V43" s="303"/>
      <c r="W43" s="303"/>
      <c r="X43" s="303"/>
      <c r="Y43" s="304"/>
      <c r="Z43" s="304"/>
      <c r="AA43" s="304"/>
      <c r="AB43" s="303"/>
      <c r="AC43" s="303"/>
      <c r="AD43" s="303"/>
      <c r="AE43" s="304"/>
      <c r="AF43" s="304"/>
      <c r="AG43" s="304"/>
      <c r="AH43" s="303"/>
      <c r="AI43" s="303"/>
      <c r="AJ43" s="303"/>
      <c r="AK43" s="304"/>
      <c r="AL43" s="304"/>
      <c r="AM43" s="304"/>
      <c r="AN43" s="303"/>
      <c r="AO43" s="303"/>
      <c r="AP43" s="303"/>
      <c r="AQ43" s="304"/>
      <c r="AR43" s="304"/>
      <c r="AS43" s="304"/>
      <c r="AT43" s="303"/>
      <c r="AU43" s="303"/>
      <c r="AV43" s="303"/>
      <c r="AW43" s="304"/>
      <c r="AX43" s="304"/>
      <c r="AY43" s="304"/>
      <c r="AZ43" s="303"/>
      <c r="BA43" s="303"/>
      <c r="BB43" s="303"/>
      <c r="BC43" s="304"/>
      <c r="BD43" s="304"/>
      <c r="BE43" s="304"/>
      <c r="BF43" s="303"/>
      <c r="BG43" s="303"/>
      <c r="BH43" s="303"/>
      <c r="BI43" s="304"/>
      <c r="BJ43" s="304"/>
      <c r="BK43" s="304"/>
      <c r="BL43" s="303"/>
      <c r="BM43" s="303"/>
      <c r="BN43" s="303"/>
      <c r="BO43" s="304"/>
      <c r="BP43" s="304"/>
      <c r="BQ43" s="304"/>
      <c r="BR43" s="305"/>
      <c r="BS43" s="305"/>
      <c r="BT43" s="305"/>
      <c r="BU43" s="304"/>
      <c r="BV43" s="304"/>
      <c r="BW43" s="304"/>
      <c r="BX43" s="303"/>
      <c r="BY43" s="303"/>
      <c r="BZ43" s="303"/>
      <c r="CA43" s="304"/>
      <c r="CB43" s="304"/>
      <c r="CC43" s="304"/>
      <c r="CD43" s="303"/>
      <c r="CE43" s="303"/>
      <c r="CF43" s="303"/>
      <c r="CG43" s="304"/>
      <c r="CH43" s="304"/>
      <c r="CI43" s="304"/>
      <c r="CJ43" s="303"/>
      <c r="CK43" s="303"/>
      <c r="CL43" s="303"/>
      <c r="CM43" s="304"/>
      <c r="CN43" s="304"/>
      <c r="CO43" s="304"/>
      <c r="CP43" s="303"/>
      <c r="CQ43" s="303"/>
      <c r="CR43" s="303"/>
      <c r="CS43" s="304"/>
      <c r="CT43" s="304"/>
      <c r="CU43" s="304"/>
      <c r="CV43" s="303"/>
      <c r="CW43" s="303"/>
      <c r="CX43" s="303"/>
      <c r="CY43" s="304"/>
      <c r="CZ43" s="304"/>
      <c r="DA43" s="304"/>
      <c r="DB43" s="303"/>
      <c r="DC43" s="303"/>
      <c r="DD43" s="303"/>
      <c r="DE43" s="304"/>
      <c r="DF43" s="304"/>
      <c r="DG43" s="304"/>
      <c r="DH43" s="303"/>
      <c r="DI43" s="303"/>
      <c r="DJ43" s="303"/>
      <c r="DK43" s="304"/>
      <c r="DL43" s="304"/>
      <c r="DM43" s="304"/>
      <c r="DN43" s="303"/>
      <c r="DO43" s="303"/>
      <c r="DP43" s="303"/>
      <c r="DQ43" s="304"/>
      <c r="DR43" s="304"/>
      <c r="DS43" s="304"/>
      <c r="DT43" s="303"/>
      <c r="DU43" s="303"/>
      <c r="DV43" s="303"/>
      <c r="DW43" s="304"/>
      <c r="DX43" s="304"/>
      <c r="DY43" s="304"/>
      <c r="DZ43" s="303"/>
      <c r="EA43" s="303"/>
      <c r="EB43" s="303"/>
      <c r="EC43" s="304"/>
      <c r="ED43" s="304"/>
      <c r="EE43" s="304"/>
      <c r="EI43" s="304"/>
      <c r="EJ43" s="304"/>
      <c r="EK43" s="304"/>
      <c r="EL43" s="303"/>
      <c r="EM43" s="303"/>
      <c r="EN43" s="303"/>
      <c r="EO43" s="304"/>
      <c r="EP43" s="304"/>
      <c r="EQ43" s="304"/>
      <c r="ER43" s="303"/>
      <c r="ES43" s="303"/>
      <c r="ET43" s="303"/>
      <c r="EU43" s="304"/>
      <c r="EV43" s="304"/>
      <c r="EW43" s="304"/>
      <c r="EX43" s="306"/>
      <c r="EY43" s="306"/>
      <c r="EZ43" s="306"/>
      <c r="FA43" s="307"/>
      <c r="FB43" s="307"/>
      <c r="FC43" s="307"/>
      <c r="FD43" s="306"/>
      <c r="FE43" s="306"/>
      <c r="FF43" s="306"/>
      <c r="FG43" s="304"/>
      <c r="FH43" s="304"/>
      <c r="FI43" s="304"/>
      <c r="FJ43" s="306"/>
      <c r="FK43" s="306"/>
      <c r="FL43" s="306"/>
      <c r="FM43" s="307"/>
      <c r="FN43" s="307"/>
      <c r="FO43" s="307"/>
      <c r="FP43" s="306"/>
      <c r="FQ43" s="306"/>
      <c r="FR43" s="306"/>
      <c r="FS43" s="307"/>
      <c r="FT43" s="307"/>
      <c r="FU43" s="307"/>
    </row>
    <row r="44" spans="1:177" s="284" customFormat="1" ht="13.9" customHeight="1" x14ac:dyDescent="0.2">
      <c r="E44" s="284" t="s">
        <v>517</v>
      </c>
      <c r="H44" s="276"/>
      <c r="I44" s="276"/>
      <c r="J44" s="298">
        <v>38.491246141916371</v>
      </c>
      <c r="K44" s="298">
        <v>390.22767407438431</v>
      </c>
      <c r="L44" s="298">
        <v>-351.73642793246796</v>
      </c>
      <c r="M44" s="299">
        <v>31.684089102805892</v>
      </c>
      <c r="N44" s="299">
        <v>217.62074369128445</v>
      </c>
      <c r="O44" s="299">
        <v>-185.93665458847855</v>
      </c>
      <c r="P44" s="298">
        <v>36.670041430768812</v>
      </c>
      <c r="Q44" s="298">
        <v>407.69094311073474</v>
      </c>
      <c r="R44" s="298">
        <v>-371.0209016799659</v>
      </c>
      <c r="S44" s="299">
        <v>35.409368923358173</v>
      </c>
      <c r="T44" s="299">
        <v>345.2696248622247</v>
      </c>
      <c r="U44" s="299">
        <v>-309.86025593886654</v>
      </c>
      <c r="V44" s="298">
        <v>33.937326057493571</v>
      </c>
      <c r="W44" s="298">
        <v>517.0687574579099</v>
      </c>
      <c r="X44" s="298">
        <v>-483.13143140041632</v>
      </c>
      <c r="Y44" s="299">
        <v>33.931465025510931</v>
      </c>
      <c r="Z44" s="299">
        <v>339.90430982656687</v>
      </c>
      <c r="AA44" s="299">
        <v>-305.97284480105594</v>
      </c>
      <c r="AB44" s="298">
        <v>33.620769218396674</v>
      </c>
      <c r="AC44" s="298">
        <v>473.37279770246261</v>
      </c>
      <c r="AD44" s="298">
        <v>-439.75202848406593</v>
      </c>
      <c r="AE44" s="299">
        <v>30.291148516215944</v>
      </c>
      <c r="AF44" s="299">
        <v>552.84812551179493</v>
      </c>
      <c r="AG44" s="299">
        <v>-522.55697699557902</v>
      </c>
      <c r="AH44" s="298">
        <v>39.736060076620511</v>
      </c>
      <c r="AI44" s="298">
        <v>521.3290241132662</v>
      </c>
      <c r="AJ44" s="298">
        <v>-481.5929640366457</v>
      </c>
      <c r="AK44" s="299">
        <v>38.613063658398843</v>
      </c>
      <c r="AL44" s="299">
        <v>397.53398577594402</v>
      </c>
      <c r="AM44" s="299">
        <v>-358.92092211754516</v>
      </c>
      <c r="AN44" s="298">
        <v>38.841420105958179</v>
      </c>
      <c r="AO44" s="298">
        <v>550.20446892059999</v>
      </c>
      <c r="AP44" s="298">
        <v>-511.36304881464184</v>
      </c>
      <c r="AQ44" s="299">
        <v>38.005696170717684</v>
      </c>
      <c r="AR44" s="299">
        <v>494.25179299552224</v>
      </c>
      <c r="AS44" s="299">
        <v>-456.24609682480457</v>
      </c>
      <c r="AT44" s="298">
        <v>35.491017505595259</v>
      </c>
      <c r="AU44" s="298">
        <v>551.39484590594657</v>
      </c>
      <c r="AV44" s="298">
        <v>-515.90382840035136</v>
      </c>
      <c r="AW44" s="299">
        <v>34.322912440062431</v>
      </c>
      <c r="AX44" s="299">
        <v>390.22511589660911</v>
      </c>
      <c r="AY44" s="299">
        <v>-355.90220345654666</v>
      </c>
      <c r="AZ44" s="298">
        <v>29.728264764300899</v>
      </c>
      <c r="BA44" s="298">
        <v>503.20757974158971</v>
      </c>
      <c r="BB44" s="298">
        <v>-473.47931497728882</v>
      </c>
      <c r="BC44" s="299">
        <v>27.779956827516749</v>
      </c>
      <c r="BD44" s="299">
        <v>695.26470648377608</v>
      </c>
      <c r="BE44" s="299">
        <v>-667.48474965625928</v>
      </c>
      <c r="BF44" s="298">
        <v>29.433635355861085</v>
      </c>
      <c r="BG44" s="298">
        <v>551.93985969040773</v>
      </c>
      <c r="BH44" s="298">
        <v>-522.50622433454669</v>
      </c>
      <c r="BI44" s="299">
        <v>30.635254433076902</v>
      </c>
      <c r="BJ44" s="299">
        <v>476.44186123303137</v>
      </c>
      <c r="BK44" s="299">
        <v>-445.80660679995447</v>
      </c>
      <c r="BL44" s="298">
        <v>32.381172257559825</v>
      </c>
      <c r="BM44" s="298">
        <v>557.90450026193071</v>
      </c>
      <c r="BN44" s="298">
        <v>-525.52332800437091</v>
      </c>
      <c r="BO44" s="299">
        <v>34.551889296465575</v>
      </c>
      <c r="BP44" s="299">
        <v>742.29307055881532</v>
      </c>
      <c r="BQ44" s="299">
        <v>-707.74118126234976</v>
      </c>
      <c r="BR44" s="300">
        <v>38.669055697191368</v>
      </c>
      <c r="BS44" s="300">
        <v>589.66992676097414</v>
      </c>
      <c r="BT44" s="300">
        <v>-551.00087106378282</v>
      </c>
      <c r="BU44" s="299">
        <v>41.102712579336725</v>
      </c>
      <c r="BV44" s="299">
        <v>473.09691102107558</v>
      </c>
      <c r="BW44" s="299">
        <v>-431.99419844173883</v>
      </c>
      <c r="BX44" s="298">
        <v>47.653828250233389</v>
      </c>
      <c r="BY44" s="298">
        <v>580.84712413135651</v>
      </c>
      <c r="BZ44" s="298">
        <v>-533.19329588112316</v>
      </c>
      <c r="CA44" s="299">
        <v>45.610366185150568</v>
      </c>
      <c r="CB44" s="299">
        <v>847.95214123577728</v>
      </c>
      <c r="CC44" s="299">
        <v>-802.34177505062667</v>
      </c>
      <c r="CD44" s="298">
        <v>63.28140257477601</v>
      </c>
      <c r="CE44" s="298">
        <v>610.64473713461882</v>
      </c>
      <c r="CF44" s="298">
        <v>-547.36333455984277</v>
      </c>
      <c r="CG44" s="299">
        <v>65.622569354936061</v>
      </c>
      <c r="CH44" s="299">
        <v>508.41748646754633</v>
      </c>
      <c r="CI44" s="299">
        <v>-442.79491711261028</v>
      </c>
      <c r="CJ44" s="298">
        <v>65.787222675029554</v>
      </c>
      <c r="CK44" s="298">
        <v>595.16750782159352</v>
      </c>
      <c r="CL44" s="298">
        <v>-529.38028514656401</v>
      </c>
      <c r="CM44" s="299">
        <v>53.927735610005882</v>
      </c>
      <c r="CN44" s="299">
        <v>919.20464622471104</v>
      </c>
      <c r="CO44" s="299">
        <v>-865.27691061470512</v>
      </c>
      <c r="CP44" s="298">
        <v>70.235110575569252</v>
      </c>
      <c r="CQ44" s="298">
        <v>586.28590080721028</v>
      </c>
      <c r="CR44" s="298">
        <v>-516.05079023164103</v>
      </c>
      <c r="CS44" s="299">
        <v>62.823509199545967</v>
      </c>
      <c r="CT44" s="299">
        <v>666.53305859654438</v>
      </c>
      <c r="CU44" s="299">
        <v>-603.70954939699845</v>
      </c>
      <c r="CV44" s="298">
        <v>62.757173870864982</v>
      </c>
      <c r="CW44" s="298">
        <v>632.92172232748521</v>
      </c>
      <c r="CX44" s="298">
        <v>-570.1645484566202</v>
      </c>
      <c r="CY44" s="299">
        <v>55.938162236483429</v>
      </c>
      <c r="CZ44" s="299">
        <v>827.70007404626506</v>
      </c>
      <c r="DA44" s="299">
        <v>-771.76191180978162</v>
      </c>
      <c r="DB44" s="298">
        <v>62.858670811610935</v>
      </c>
      <c r="DC44" s="298">
        <v>688.87683913894807</v>
      </c>
      <c r="DD44" s="298">
        <v>-626.01816832733709</v>
      </c>
      <c r="DE44" s="299">
        <v>47.668928684946877</v>
      </c>
      <c r="DF44" s="299">
        <v>565.41455011376775</v>
      </c>
      <c r="DG44" s="299">
        <v>-517.74562142882087</v>
      </c>
      <c r="DH44" s="298">
        <v>43.387544739263369</v>
      </c>
      <c r="DI44" s="298">
        <v>622.50405531150341</v>
      </c>
      <c r="DJ44" s="298">
        <v>-579.11651057224003</v>
      </c>
      <c r="DK44" s="299">
        <v>44.384177220852578</v>
      </c>
      <c r="DL44" s="299">
        <v>526.8591893385551</v>
      </c>
      <c r="DM44" s="299">
        <v>-482.47501211770253</v>
      </c>
      <c r="DN44" s="298">
        <v>39.266082376480036</v>
      </c>
      <c r="DO44" s="298">
        <v>485.64863778666967</v>
      </c>
      <c r="DP44" s="298">
        <v>-446.38255541018964</v>
      </c>
      <c r="DQ44" s="299">
        <v>29.59895428876877</v>
      </c>
      <c r="DR44" s="299">
        <v>446.36032787260626</v>
      </c>
      <c r="DS44" s="299">
        <v>-416.7613735838375</v>
      </c>
      <c r="DT44" s="298">
        <v>23.503754530996606</v>
      </c>
      <c r="DU44" s="298">
        <v>614.72076541740103</v>
      </c>
      <c r="DV44" s="298">
        <v>-591.21701088640441</v>
      </c>
      <c r="DW44" s="299">
        <v>23.586965801127143</v>
      </c>
      <c r="DX44" s="299">
        <v>528.50841540987221</v>
      </c>
      <c r="DY44" s="299">
        <v>-504.92144960874509</v>
      </c>
      <c r="DZ44" s="298">
        <v>38.447004685588972</v>
      </c>
      <c r="EA44" s="298">
        <v>432.37658604461024</v>
      </c>
      <c r="EB44" s="298">
        <v>-393.92958135902126</v>
      </c>
      <c r="EC44" s="299">
        <v>52.623896696856065</v>
      </c>
      <c r="ED44" s="299">
        <v>509.24221847922195</v>
      </c>
      <c r="EE44" s="299">
        <v>-456.61832178236591</v>
      </c>
      <c r="EF44" s="298">
        <v>72.79906322074622</v>
      </c>
      <c r="EG44" s="298">
        <v>639.68974535406755</v>
      </c>
      <c r="EH44" s="298">
        <v>-566.89068213332132</v>
      </c>
      <c r="EI44" s="299">
        <v>102.61579197790209</v>
      </c>
      <c r="EJ44" s="299">
        <v>555.05998829093062</v>
      </c>
      <c r="EK44" s="299">
        <v>-452.44419631302856</v>
      </c>
      <c r="EL44" s="298">
        <v>103.1909978351857</v>
      </c>
      <c r="EM44" s="298">
        <v>733.30725015017993</v>
      </c>
      <c r="EN44" s="298">
        <v>-630.1162523149942</v>
      </c>
      <c r="EO44" s="299">
        <v>106.95671692262304</v>
      </c>
      <c r="EP44" s="299">
        <v>602.67643953881634</v>
      </c>
      <c r="EQ44" s="299">
        <v>-495.71972261619328</v>
      </c>
      <c r="ER44" s="298">
        <v>122.71058189552356</v>
      </c>
      <c r="ES44" s="298">
        <v>870.30852411933768</v>
      </c>
      <c r="ET44" s="298">
        <v>-747.59794222381413</v>
      </c>
      <c r="EU44" s="299">
        <v>126.68677806726167</v>
      </c>
      <c r="EV44" s="299">
        <v>800.84196315734437</v>
      </c>
      <c r="EW44" s="299">
        <v>-674.15518509008268</v>
      </c>
      <c r="EX44" s="301">
        <v>114.63095099752567</v>
      </c>
      <c r="EY44" s="301">
        <v>827.0510962853275</v>
      </c>
      <c r="EZ44" s="301">
        <v>-712.4201452878018</v>
      </c>
      <c r="FA44" s="302">
        <v>137.00693725946957</v>
      </c>
      <c r="FB44" s="302">
        <v>714.77804186634205</v>
      </c>
      <c r="FC44" s="302">
        <v>-577.77110460687254</v>
      </c>
      <c r="FD44" s="301">
        <v>179.73284284898833</v>
      </c>
      <c r="FE44" s="301">
        <v>783.49801485705518</v>
      </c>
      <c r="FF44" s="301">
        <v>-603.76517200806688</v>
      </c>
      <c r="FG44" s="299">
        <v>177.98075497496802</v>
      </c>
      <c r="FH44" s="299">
        <v>881.53215737086032</v>
      </c>
      <c r="FI44" s="299">
        <v>-703.5514023958923</v>
      </c>
      <c r="FJ44" s="301">
        <v>150.14229437081872</v>
      </c>
      <c r="FK44" s="301">
        <v>655.65904120288212</v>
      </c>
      <c r="FL44" s="301">
        <v>-505.5167468320634</v>
      </c>
      <c r="FM44" s="302">
        <v>163.97560813812075</v>
      </c>
      <c r="FN44" s="302">
        <v>667.50842652182416</v>
      </c>
      <c r="FO44" s="302">
        <v>-503.53281838370344</v>
      </c>
      <c r="FP44" s="301">
        <v>142.62017985766215</v>
      </c>
      <c r="FQ44" s="301">
        <v>669.09037084939746</v>
      </c>
      <c r="FR44" s="301">
        <v>-526.47019099173531</v>
      </c>
      <c r="FS44" s="302">
        <v>122.97281069008717</v>
      </c>
      <c r="FT44" s="302">
        <v>623.38495929380372</v>
      </c>
      <c r="FU44" s="302">
        <v>-500.41214860371656</v>
      </c>
    </row>
    <row r="45" spans="1:177" ht="13.9" customHeight="1" x14ac:dyDescent="0.2">
      <c r="A45" s="284"/>
      <c r="F45" s="272" t="s">
        <v>518</v>
      </c>
      <c r="J45" s="303">
        <v>5.15</v>
      </c>
      <c r="K45" s="303">
        <v>9.4400000000000013</v>
      </c>
      <c r="L45" s="303">
        <v>-4.2900000000000009</v>
      </c>
      <c r="M45" s="304">
        <v>3.22</v>
      </c>
      <c r="N45" s="304">
        <v>7.9</v>
      </c>
      <c r="O45" s="304">
        <v>-4.68</v>
      </c>
      <c r="P45" s="303">
        <v>2.97</v>
      </c>
      <c r="Q45" s="303">
        <v>6.6</v>
      </c>
      <c r="R45" s="303">
        <v>-3.6299999999999994</v>
      </c>
      <c r="S45" s="304">
        <v>2.95</v>
      </c>
      <c r="T45" s="304">
        <v>9.9</v>
      </c>
      <c r="U45" s="304">
        <v>-6.95</v>
      </c>
      <c r="V45" s="303">
        <v>4.3600001696744339</v>
      </c>
      <c r="W45" s="303">
        <v>15.290000726747131</v>
      </c>
      <c r="X45" s="303">
        <v>-10.930000557072697</v>
      </c>
      <c r="Y45" s="304">
        <v>4.87</v>
      </c>
      <c r="Z45" s="304">
        <v>17.47</v>
      </c>
      <c r="AA45" s="304">
        <v>-12.599999999999998</v>
      </c>
      <c r="AB45" s="303">
        <v>3.3300006156722737</v>
      </c>
      <c r="AC45" s="303">
        <v>16.800003188743212</v>
      </c>
      <c r="AD45" s="303">
        <v>-13.470002573070937</v>
      </c>
      <c r="AE45" s="304">
        <v>2.6700004140895643</v>
      </c>
      <c r="AF45" s="304">
        <v>16.440001994168163</v>
      </c>
      <c r="AG45" s="304">
        <v>-13.770001580078599</v>
      </c>
      <c r="AH45" s="303">
        <v>5.07</v>
      </c>
      <c r="AI45" s="303">
        <v>15.8</v>
      </c>
      <c r="AJ45" s="303">
        <v>-10.73</v>
      </c>
      <c r="AK45" s="304">
        <v>5.37</v>
      </c>
      <c r="AL45" s="304">
        <v>18.670000000000002</v>
      </c>
      <c r="AM45" s="304">
        <v>-13.3</v>
      </c>
      <c r="AN45" s="303">
        <v>3.9800003070769723</v>
      </c>
      <c r="AO45" s="303">
        <v>17.320001069285887</v>
      </c>
      <c r="AP45" s="303">
        <v>-13.340000762208915</v>
      </c>
      <c r="AQ45" s="304">
        <v>4.09</v>
      </c>
      <c r="AR45" s="304">
        <v>16.549999999999997</v>
      </c>
      <c r="AS45" s="304">
        <v>-12.459999999999997</v>
      </c>
      <c r="AT45" s="303">
        <v>5.4799999999999995</v>
      </c>
      <c r="AU45" s="303">
        <v>20.720000000000002</v>
      </c>
      <c r="AV45" s="303">
        <v>-15.240000000000002</v>
      </c>
      <c r="AW45" s="304">
        <v>5.43</v>
      </c>
      <c r="AX45" s="304">
        <v>21.71</v>
      </c>
      <c r="AY45" s="304">
        <v>-16.28</v>
      </c>
      <c r="AZ45" s="303">
        <v>4.12000004318124</v>
      </c>
      <c r="BA45" s="303">
        <v>20.050000215906199</v>
      </c>
      <c r="BB45" s="303">
        <v>-15.930000172724959</v>
      </c>
      <c r="BC45" s="304">
        <v>4.4000000000000004</v>
      </c>
      <c r="BD45" s="304">
        <v>20.07</v>
      </c>
      <c r="BE45" s="304">
        <v>-15.67</v>
      </c>
      <c r="BF45" s="303">
        <v>5.89</v>
      </c>
      <c r="BG45" s="303">
        <v>23.02</v>
      </c>
      <c r="BH45" s="303">
        <v>-17.13</v>
      </c>
      <c r="BI45" s="304">
        <v>5.9900002644367181</v>
      </c>
      <c r="BJ45" s="304">
        <v>22.510001022998939</v>
      </c>
      <c r="BK45" s="304">
        <v>-16.520000758562219</v>
      </c>
      <c r="BL45" s="303">
        <v>3.95</v>
      </c>
      <c r="BM45" s="303">
        <v>21.4</v>
      </c>
      <c r="BN45" s="303">
        <v>-17.45</v>
      </c>
      <c r="BO45" s="304">
        <v>4.4899999999999993</v>
      </c>
      <c r="BP45" s="304">
        <v>20.7</v>
      </c>
      <c r="BQ45" s="304">
        <v>-16.21</v>
      </c>
      <c r="BR45" s="305">
        <v>7.0000002662461451</v>
      </c>
      <c r="BS45" s="305">
        <v>24.700000937564649</v>
      </c>
      <c r="BT45" s="305">
        <v>-17.700000671318506</v>
      </c>
      <c r="BU45" s="304">
        <v>6.219999146451002</v>
      </c>
      <c r="BV45" s="304">
        <v>23.429996797868561</v>
      </c>
      <c r="BW45" s="304">
        <v>-17.209997651417559</v>
      </c>
      <c r="BX45" s="303">
        <v>6.8200000741785836</v>
      </c>
      <c r="BY45" s="303">
        <v>24.10000024330575</v>
      </c>
      <c r="BZ45" s="303">
        <v>-17.280000169127167</v>
      </c>
      <c r="CA45" s="304">
        <v>6.3000000000000007</v>
      </c>
      <c r="CB45" s="304">
        <v>24.1</v>
      </c>
      <c r="CC45" s="304">
        <v>-17.8</v>
      </c>
      <c r="CD45" s="303">
        <v>7.34</v>
      </c>
      <c r="CE45" s="303">
        <v>26.1</v>
      </c>
      <c r="CF45" s="303">
        <v>-18.760000000000002</v>
      </c>
      <c r="CG45" s="304">
        <v>6.5299999999999994</v>
      </c>
      <c r="CH45" s="304">
        <v>24.799999999999997</v>
      </c>
      <c r="CI45" s="304">
        <v>-18.269999999999996</v>
      </c>
      <c r="CJ45" s="303">
        <v>7.15</v>
      </c>
      <c r="CK45" s="303">
        <v>25.45</v>
      </c>
      <c r="CL45" s="303">
        <v>-18.299999999999997</v>
      </c>
      <c r="CM45" s="304">
        <v>6.6</v>
      </c>
      <c r="CN45" s="304">
        <v>25.48</v>
      </c>
      <c r="CO45" s="304">
        <v>-18.880000000000003</v>
      </c>
      <c r="CP45" s="303">
        <v>7.7799999999999994</v>
      </c>
      <c r="CQ45" s="303">
        <v>32.15</v>
      </c>
      <c r="CR45" s="303">
        <v>-24.369999999999997</v>
      </c>
      <c r="CS45" s="304">
        <v>7.46</v>
      </c>
      <c r="CT45" s="304">
        <v>34.120000000000005</v>
      </c>
      <c r="CU45" s="304">
        <v>-26.660000000000004</v>
      </c>
      <c r="CV45" s="303">
        <v>9.65</v>
      </c>
      <c r="CW45" s="303">
        <v>31.99</v>
      </c>
      <c r="CX45" s="303">
        <v>-22.339999999999996</v>
      </c>
      <c r="CY45" s="304">
        <v>6.6</v>
      </c>
      <c r="CZ45" s="304">
        <v>32.18</v>
      </c>
      <c r="DA45" s="304">
        <v>-25.58</v>
      </c>
      <c r="DB45" s="303">
        <v>7.7</v>
      </c>
      <c r="DC45" s="303">
        <v>32.599999999999994</v>
      </c>
      <c r="DD45" s="303">
        <v>-24.899999999999995</v>
      </c>
      <c r="DE45" s="304">
        <v>7.7800003636322188</v>
      </c>
      <c r="DF45" s="304">
        <v>26.100001075531917</v>
      </c>
      <c r="DG45" s="304">
        <v>-18.320000711899699</v>
      </c>
      <c r="DH45" s="303">
        <v>9</v>
      </c>
      <c r="DI45" s="303">
        <v>34.5</v>
      </c>
      <c r="DJ45" s="303">
        <v>-25.5</v>
      </c>
      <c r="DK45" s="304">
        <v>12</v>
      </c>
      <c r="DL45" s="304">
        <v>39</v>
      </c>
      <c r="DM45" s="304">
        <v>-27</v>
      </c>
      <c r="DN45" s="303">
        <v>6.8</v>
      </c>
      <c r="DO45" s="303">
        <v>37.5</v>
      </c>
      <c r="DP45" s="303">
        <v>-30.7</v>
      </c>
      <c r="DQ45" s="304">
        <v>7.8</v>
      </c>
      <c r="DR45" s="304">
        <v>3.1</v>
      </c>
      <c r="DS45" s="304">
        <v>4.6999999999999993</v>
      </c>
      <c r="DT45" s="303">
        <v>7.7</v>
      </c>
      <c r="DU45" s="303">
        <v>13</v>
      </c>
      <c r="DV45" s="303">
        <v>-5.3</v>
      </c>
      <c r="DW45" s="304">
        <v>8.1000000000000014</v>
      </c>
      <c r="DX45" s="304">
        <v>20</v>
      </c>
      <c r="DY45" s="304">
        <v>-11.899999999999999</v>
      </c>
      <c r="DZ45" s="303">
        <v>7.9000007380455326</v>
      </c>
      <c r="EA45" s="303">
        <v>33.000003205601189</v>
      </c>
      <c r="EB45" s="303">
        <v>-25.100002467555655</v>
      </c>
      <c r="EC45" s="304">
        <v>7.2999995416875851</v>
      </c>
      <c r="ED45" s="304">
        <v>11.999999126339986</v>
      </c>
      <c r="EE45" s="304">
        <v>-4.6999995846524012</v>
      </c>
      <c r="EF45" s="303">
        <v>7.3000000000000007</v>
      </c>
      <c r="EG45" s="303">
        <v>13</v>
      </c>
      <c r="EH45" s="303">
        <v>-5.6999999999999993</v>
      </c>
      <c r="EI45" s="304">
        <v>7.4115000000000002</v>
      </c>
      <c r="EJ45" s="304">
        <v>10.5</v>
      </c>
      <c r="EK45" s="304">
        <v>-3.0884999999999998</v>
      </c>
      <c r="EL45" s="303">
        <v>18.446030470000004</v>
      </c>
      <c r="EM45" s="303">
        <v>10.207072659999996</v>
      </c>
      <c r="EN45" s="303">
        <v>8.2389578100000076</v>
      </c>
      <c r="EO45" s="304">
        <v>11.642120570000001</v>
      </c>
      <c r="EP45" s="304">
        <v>6.5186753500000005</v>
      </c>
      <c r="EQ45" s="304">
        <v>5.1234452200000007</v>
      </c>
      <c r="ER45" s="303">
        <v>11.482964720000002</v>
      </c>
      <c r="ES45" s="303">
        <v>7.4917056800000008</v>
      </c>
      <c r="ET45" s="303">
        <v>3.991259040000001</v>
      </c>
      <c r="EU45" s="304">
        <v>11.464885210000002</v>
      </c>
      <c r="EV45" s="304">
        <v>6.0182885299999995</v>
      </c>
      <c r="EW45" s="304">
        <v>5.4465966800000025</v>
      </c>
      <c r="EX45" s="306">
        <v>20.050205180000006</v>
      </c>
      <c r="EY45" s="306">
        <v>4.4134790699999993</v>
      </c>
      <c r="EZ45" s="306">
        <v>15.636726110000007</v>
      </c>
      <c r="FA45" s="307">
        <v>21.043119279999999</v>
      </c>
      <c r="FB45" s="307">
        <v>4.7092012200000006</v>
      </c>
      <c r="FC45" s="307">
        <v>16.333918059999998</v>
      </c>
      <c r="FD45" s="306">
        <v>49.622361579999996</v>
      </c>
      <c r="FE45" s="306">
        <v>6.0641874099999997</v>
      </c>
      <c r="FF45" s="306">
        <v>43.558174169999994</v>
      </c>
      <c r="FG45" s="304">
        <v>55.518475570000007</v>
      </c>
      <c r="FH45" s="304">
        <v>4.9654423699999999</v>
      </c>
      <c r="FI45" s="304">
        <v>50.553033200000009</v>
      </c>
      <c r="FJ45" s="306">
        <v>62.793786334997229</v>
      </c>
      <c r="FK45" s="306">
        <v>6.6697572129637663</v>
      </c>
      <c r="FL45" s="306">
        <v>56.124029122033463</v>
      </c>
      <c r="FM45" s="307">
        <v>59.831791219931091</v>
      </c>
      <c r="FN45" s="307">
        <v>6.3470876672912482</v>
      </c>
      <c r="FO45" s="307">
        <v>53.484703552639843</v>
      </c>
      <c r="FP45" s="306">
        <v>54.023263377494715</v>
      </c>
      <c r="FQ45" s="306">
        <v>7.6078369859769905</v>
      </c>
      <c r="FR45" s="306">
        <v>46.415426391517727</v>
      </c>
      <c r="FS45" s="307">
        <v>52.767508192650055</v>
      </c>
      <c r="FT45" s="307">
        <v>7.703415755233042</v>
      </c>
      <c r="FU45" s="307">
        <v>45.064092437417017</v>
      </c>
    </row>
    <row r="46" spans="1:177" ht="13.9" customHeight="1" x14ac:dyDescent="0.2">
      <c r="A46" s="284"/>
      <c r="F46" s="272" t="s">
        <v>519</v>
      </c>
      <c r="J46" s="303">
        <v>33.341246141916372</v>
      </c>
      <c r="K46" s="303">
        <v>380.78767407438431</v>
      </c>
      <c r="L46" s="303">
        <v>-347.44642793246794</v>
      </c>
      <c r="M46" s="304">
        <v>28.464089102805893</v>
      </c>
      <c r="N46" s="304">
        <v>209.72074369128444</v>
      </c>
      <c r="O46" s="304">
        <v>-181.25665458847854</v>
      </c>
      <c r="P46" s="303">
        <v>33.700041430768813</v>
      </c>
      <c r="Q46" s="303">
        <v>401.09094311073471</v>
      </c>
      <c r="R46" s="303">
        <v>-367.39090167996591</v>
      </c>
      <c r="S46" s="304">
        <v>32.45936892335817</v>
      </c>
      <c r="T46" s="304">
        <v>335.36962486222473</v>
      </c>
      <c r="U46" s="304">
        <v>-302.91025593886656</v>
      </c>
      <c r="V46" s="303">
        <v>29.577325887819136</v>
      </c>
      <c r="W46" s="303">
        <v>501.77875673116273</v>
      </c>
      <c r="X46" s="303">
        <v>-472.20143084334359</v>
      </c>
      <c r="Y46" s="304">
        <v>29.06146502551093</v>
      </c>
      <c r="Z46" s="304">
        <v>322.43430982656685</v>
      </c>
      <c r="AA46" s="304">
        <v>-293.37284480105592</v>
      </c>
      <c r="AB46" s="303">
        <v>30.290768602724398</v>
      </c>
      <c r="AC46" s="303">
        <v>456.57279451371937</v>
      </c>
      <c r="AD46" s="303">
        <v>-426.282025910995</v>
      </c>
      <c r="AE46" s="304">
        <v>27.62114810212638</v>
      </c>
      <c r="AF46" s="304">
        <v>536.40812351762679</v>
      </c>
      <c r="AG46" s="304">
        <v>-508.78697541550042</v>
      </c>
      <c r="AH46" s="303">
        <v>34.666060076620511</v>
      </c>
      <c r="AI46" s="303">
        <v>505.52902411326625</v>
      </c>
      <c r="AJ46" s="303">
        <v>-470.86296403664574</v>
      </c>
      <c r="AK46" s="304">
        <v>33.243063658398846</v>
      </c>
      <c r="AL46" s="304">
        <v>378.863985775944</v>
      </c>
      <c r="AM46" s="304">
        <v>-345.62092211754515</v>
      </c>
      <c r="AN46" s="303">
        <v>34.861419798881208</v>
      </c>
      <c r="AO46" s="303">
        <v>532.88446785131407</v>
      </c>
      <c r="AP46" s="303">
        <v>-498.02304805243284</v>
      </c>
      <c r="AQ46" s="304">
        <v>33.915696170717681</v>
      </c>
      <c r="AR46" s="304">
        <v>477.70179299552223</v>
      </c>
      <c r="AS46" s="304">
        <v>-443.78609682480453</v>
      </c>
      <c r="AT46" s="303">
        <v>30.011017505595262</v>
      </c>
      <c r="AU46" s="303">
        <v>530.67484590594654</v>
      </c>
      <c r="AV46" s="303">
        <v>-500.66382840035129</v>
      </c>
      <c r="AW46" s="304">
        <v>28.892912440062432</v>
      </c>
      <c r="AX46" s="304">
        <v>368.51511589660913</v>
      </c>
      <c r="AY46" s="304">
        <v>-339.62220345654669</v>
      </c>
      <c r="AZ46" s="303">
        <v>25.60826472111966</v>
      </c>
      <c r="BA46" s="303">
        <v>483.1575795256835</v>
      </c>
      <c r="BB46" s="303">
        <v>-457.54931480456383</v>
      </c>
      <c r="BC46" s="304">
        <v>23.37995682751675</v>
      </c>
      <c r="BD46" s="304">
        <v>675.19470648377603</v>
      </c>
      <c r="BE46" s="304">
        <v>-651.81474965625932</v>
      </c>
      <c r="BF46" s="303">
        <v>23.543635355861085</v>
      </c>
      <c r="BG46" s="303">
        <v>528.91985969040775</v>
      </c>
      <c r="BH46" s="303">
        <v>-505.37622433454669</v>
      </c>
      <c r="BI46" s="304">
        <v>24.645254168640182</v>
      </c>
      <c r="BJ46" s="304">
        <v>453.93186021003243</v>
      </c>
      <c r="BK46" s="304">
        <v>-429.28660604139225</v>
      </c>
      <c r="BL46" s="303">
        <v>28.431172257559822</v>
      </c>
      <c r="BM46" s="303">
        <v>536.50450026193073</v>
      </c>
      <c r="BN46" s="303">
        <v>-508.07332800437092</v>
      </c>
      <c r="BO46" s="304">
        <v>30.061889296465573</v>
      </c>
      <c r="BP46" s="304">
        <v>721.59307055881527</v>
      </c>
      <c r="BQ46" s="304">
        <v>-691.53118126234972</v>
      </c>
      <c r="BR46" s="305">
        <v>31.669055430945221</v>
      </c>
      <c r="BS46" s="305">
        <v>564.96992582340954</v>
      </c>
      <c r="BT46" s="305">
        <v>-533.30087039246428</v>
      </c>
      <c r="BU46" s="304">
        <v>34.882713432885723</v>
      </c>
      <c r="BV46" s="304">
        <v>449.66691422320702</v>
      </c>
      <c r="BW46" s="304">
        <v>-414.78420079032128</v>
      </c>
      <c r="BX46" s="303">
        <v>40.833828176054809</v>
      </c>
      <c r="BY46" s="303">
        <v>556.74712388805074</v>
      </c>
      <c r="BZ46" s="303">
        <v>-515.91329571199594</v>
      </c>
      <c r="CA46" s="304">
        <v>39.310366185150571</v>
      </c>
      <c r="CB46" s="304">
        <v>823.85214123577725</v>
      </c>
      <c r="CC46" s="304">
        <v>-784.54177505062671</v>
      </c>
      <c r="CD46" s="303">
        <v>55.941402574776006</v>
      </c>
      <c r="CE46" s="303">
        <v>584.5447371346188</v>
      </c>
      <c r="CF46" s="303">
        <v>-528.60333455984278</v>
      </c>
      <c r="CG46" s="304">
        <v>59.09256935493606</v>
      </c>
      <c r="CH46" s="304">
        <v>483.61748646754631</v>
      </c>
      <c r="CI46" s="304">
        <v>-424.52491711261024</v>
      </c>
      <c r="CJ46" s="303">
        <v>58.637222675029548</v>
      </c>
      <c r="CK46" s="303">
        <v>569.71750782159347</v>
      </c>
      <c r="CL46" s="303">
        <v>-511.08028514656394</v>
      </c>
      <c r="CM46" s="304">
        <v>47.327735610005881</v>
      </c>
      <c r="CN46" s="304">
        <v>893.72464622471102</v>
      </c>
      <c r="CO46" s="304">
        <v>-846.39691061470512</v>
      </c>
      <c r="CP46" s="303">
        <v>62.455110575569257</v>
      </c>
      <c r="CQ46" s="303">
        <v>554.13590080721031</v>
      </c>
      <c r="CR46" s="303">
        <v>-491.68079023164103</v>
      </c>
      <c r="CS46" s="304">
        <v>55.363509199545966</v>
      </c>
      <c r="CT46" s="304">
        <v>632.41305859654437</v>
      </c>
      <c r="CU46" s="304">
        <v>-577.04954939699837</v>
      </c>
      <c r="CV46" s="303">
        <v>53.107173870864983</v>
      </c>
      <c r="CW46" s="303">
        <v>600.9317223274852</v>
      </c>
      <c r="CX46" s="303">
        <v>-547.82454845662028</v>
      </c>
      <c r="CY46" s="304">
        <v>49.338162236483427</v>
      </c>
      <c r="CZ46" s="304">
        <v>795.52007404626511</v>
      </c>
      <c r="DA46" s="304">
        <v>-746.1819118097817</v>
      </c>
      <c r="DB46" s="303">
        <v>55.158670811610932</v>
      </c>
      <c r="DC46" s="303">
        <v>656.27683913894805</v>
      </c>
      <c r="DD46" s="303">
        <v>-601.11816832733712</v>
      </c>
      <c r="DE46" s="304">
        <v>39.888928321314658</v>
      </c>
      <c r="DF46" s="304">
        <v>539.31454903823578</v>
      </c>
      <c r="DG46" s="304">
        <v>-499.42562071692112</v>
      </c>
      <c r="DH46" s="303">
        <v>34.387544739263369</v>
      </c>
      <c r="DI46" s="303">
        <v>588.00405531150341</v>
      </c>
      <c r="DJ46" s="303">
        <v>-553.61651057224003</v>
      </c>
      <c r="DK46" s="304">
        <v>32.384177220852578</v>
      </c>
      <c r="DL46" s="304">
        <v>487.85918933855515</v>
      </c>
      <c r="DM46" s="304">
        <v>-455.47501211770259</v>
      </c>
      <c r="DN46" s="303">
        <v>32.466082376480038</v>
      </c>
      <c r="DO46" s="303">
        <v>448.14863778666967</v>
      </c>
      <c r="DP46" s="303">
        <v>-415.68255541018965</v>
      </c>
      <c r="DQ46" s="304">
        <v>21.798954288768769</v>
      </c>
      <c r="DR46" s="304">
        <v>443.26032787260624</v>
      </c>
      <c r="DS46" s="304">
        <v>-421.46137358383749</v>
      </c>
      <c r="DT46" s="303">
        <v>15.803754530996606</v>
      </c>
      <c r="DU46" s="303">
        <v>601.72076541740103</v>
      </c>
      <c r="DV46" s="303">
        <v>-585.91701088640446</v>
      </c>
      <c r="DW46" s="304">
        <v>15.486965801127139</v>
      </c>
      <c r="DX46" s="304">
        <v>508.50841540987221</v>
      </c>
      <c r="DY46" s="304">
        <v>-493.02144960874506</v>
      </c>
      <c r="DZ46" s="303">
        <v>30.547003947543438</v>
      </c>
      <c r="EA46" s="303">
        <v>399.37658283900907</v>
      </c>
      <c r="EB46" s="303">
        <v>-368.82957889146564</v>
      </c>
      <c r="EC46" s="304">
        <v>45.323897155168481</v>
      </c>
      <c r="ED46" s="304">
        <v>497.24221935288199</v>
      </c>
      <c r="EE46" s="304">
        <v>-451.91832219771351</v>
      </c>
      <c r="EF46" s="303">
        <v>65.499063220746223</v>
      </c>
      <c r="EG46" s="303">
        <v>626.68974535406755</v>
      </c>
      <c r="EH46" s="303">
        <v>-561.19068213332139</v>
      </c>
      <c r="EI46" s="304">
        <v>95.204291977902088</v>
      </c>
      <c r="EJ46" s="304">
        <v>544.55998829093062</v>
      </c>
      <c r="EK46" s="304">
        <v>-449.35569631302855</v>
      </c>
      <c r="EL46" s="303">
        <v>84.744967365185701</v>
      </c>
      <c r="EM46" s="303">
        <v>723.10017749017993</v>
      </c>
      <c r="EN46" s="303">
        <v>-638.35521012499419</v>
      </c>
      <c r="EO46" s="304">
        <v>95.314596352623042</v>
      </c>
      <c r="EP46" s="304">
        <v>596.15776418881637</v>
      </c>
      <c r="EQ46" s="304">
        <v>-500.84316783619335</v>
      </c>
      <c r="ER46" s="303">
        <v>111.22761717552356</v>
      </c>
      <c r="ES46" s="303">
        <v>862.81681843933768</v>
      </c>
      <c r="ET46" s="303">
        <v>-751.58920126381418</v>
      </c>
      <c r="EU46" s="304">
        <v>115.22189285726166</v>
      </c>
      <c r="EV46" s="304">
        <v>794.82367462734442</v>
      </c>
      <c r="EW46" s="304">
        <v>-679.60178177008277</v>
      </c>
      <c r="EX46" s="306">
        <v>94.580745817525667</v>
      </c>
      <c r="EY46" s="306">
        <v>822.63761721532751</v>
      </c>
      <c r="EZ46" s="306">
        <v>-728.05687139780184</v>
      </c>
      <c r="FA46" s="307">
        <v>115.96381797946958</v>
      </c>
      <c r="FB46" s="307">
        <v>710.0688406463421</v>
      </c>
      <c r="FC46" s="307">
        <v>-594.10502266687251</v>
      </c>
      <c r="FD46" s="306">
        <v>130.11048126898834</v>
      </c>
      <c r="FE46" s="306">
        <v>777.43382744705514</v>
      </c>
      <c r="FF46" s="306">
        <v>-647.3233461780668</v>
      </c>
      <c r="FG46" s="304">
        <v>122.462279404968</v>
      </c>
      <c r="FH46" s="304">
        <v>876.56671500086031</v>
      </c>
      <c r="FI46" s="304">
        <v>-754.10443559589226</v>
      </c>
      <c r="FJ46" s="306">
        <v>87.348508035821496</v>
      </c>
      <c r="FK46" s="306">
        <v>648.98928398991836</v>
      </c>
      <c r="FL46" s="306">
        <v>-561.64077595409685</v>
      </c>
      <c r="FM46" s="307">
        <v>104.14381691818966</v>
      </c>
      <c r="FN46" s="307">
        <v>661.16133885453291</v>
      </c>
      <c r="FO46" s="307">
        <v>-557.0175219363432</v>
      </c>
      <c r="FP46" s="306">
        <v>88.596916480167437</v>
      </c>
      <c r="FQ46" s="306">
        <v>661.48253386342049</v>
      </c>
      <c r="FR46" s="306">
        <v>-572.88561738325302</v>
      </c>
      <c r="FS46" s="307">
        <v>70.205302497437117</v>
      </c>
      <c r="FT46" s="307">
        <v>615.68154353857062</v>
      </c>
      <c r="FU46" s="307">
        <v>-545.47624104113356</v>
      </c>
    </row>
    <row r="47" spans="1:177" s="284" customFormat="1" ht="13.9" customHeight="1" x14ac:dyDescent="0.2">
      <c r="G47" s="272" t="s">
        <v>520</v>
      </c>
      <c r="H47" s="277"/>
      <c r="I47" s="277"/>
      <c r="J47" s="303">
        <v>3.75</v>
      </c>
      <c r="K47" s="303">
        <v>95.237745769216474</v>
      </c>
      <c r="L47" s="303">
        <v>-91.487745769216474</v>
      </c>
      <c r="M47" s="304">
        <v>3.75</v>
      </c>
      <c r="N47" s="304">
        <v>76.224109170983439</v>
      </c>
      <c r="O47" s="304">
        <v>-72.474109170983439</v>
      </c>
      <c r="P47" s="303">
        <v>3.75</v>
      </c>
      <c r="Q47" s="303">
        <v>110.04378817374013</v>
      </c>
      <c r="R47" s="303">
        <v>-106.29378817374013</v>
      </c>
      <c r="S47" s="304">
        <v>3.75</v>
      </c>
      <c r="T47" s="304">
        <v>164.49202529058252</v>
      </c>
      <c r="U47" s="304">
        <v>-160.74202529058252</v>
      </c>
      <c r="V47" s="303">
        <v>1.5412053758606605</v>
      </c>
      <c r="W47" s="303">
        <v>137.38551585549442</v>
      </c>
      <c r="X47" s="303">
        <v>-135.84431047963375</v>
      </c>
      <c r="Y47" s="304">
        <v>1.5412053758606605</v>
      </c>
      <c r="Z47" s="304">
        <v>130.0177970023762</v>
      </c>
      <c r="AA47" s="304">
        <v>-128.47659162651553</v>
      </c>
      <c r="AB47" s="303">
        <v>1.5412053758606605</v>
      </c>
      <c r="AC47" s="303">
        <v>150.3706682967271</v>
      </c>
      <c r="AD47" s="303">
        <v>-148.82946292086643</v>
      </c>
      <c r="AE47" s="304">
        <v>1.5412053758606605</v>
      </c>
      <c r="AF47" s="304">
        <v>318.76471780197494</v>
      </c>
      <c r="AG47" s="304">
        <v>-317.22351242611427</v>
      </c>
      <c r="AH47" s="303">
        <v>4.1330653569325948</v>
      </c>
      <c r="AI47" s="303">
        <v>159.74708875090619</v>
      </c>
      <c r="AJ47" s="303">
        <v>-155.61402339397358</v>
      </c>
      <c r="AK47" s="304">
        <v>4.1330653569325948</v>
      </c>
      <c r="AL47" s="304">
        <v>141.76072498488736</v>
      </c>
      <c r="AM47" s="304">
        <v>-137.62765962795476</v>
      </c>
      <c r="AN47" s="303">
        <v>4.1330653569325948</v>
      </c>
      <c r="AO47" s="303">
        <v>132.89290203719395</v>
      </c>
      <c r="AP47" s="303">
        <v>-128.75983668026134</v>
      </c>
      <c r="AQ47" s="304">
        <v>4.1330653569325948</v>
      </c>
      <c r="AR47" s="304">
        <v>235.37510204177107</v>
      </c>
      <c r="AS47" s="304">
        <v>-231.24203668483847</v>
      </c>
      <c r="AT47" s="303">
        <v>4.125</v>
      </c>
      <c r="AU47" s="303">
        <v>127.25542945444408</v>
      </c>
      <c r="AV47" s="303">
        <v>-123.13042945444408</v>
      </c>
      <c r="AW47" s="304">
        <v>4.125</v>
      </c>
      <c r="AX47" s="304">
        <v>122.8093085255547</v>
      </c>
      <c r="AY47" s="304">
        <v>-118.6843085255547</v>
      </c>
      <c r="AZ47" s="303">
        <v>4.125</v>
      </c>
      <c r="BA47" s="303">
        <v>115.24196401036923</v>
      </c>
      <c r="BB47" s="303">
        <v>-111.11696401036923</v>
      </c>
      <c r="BC47" s="304">
        <v>4.125</v>
      </c>
      <c r="BD47" s="304">
        <v>421.91525726220198</v>
      </c>
      <c r="BE47" s="304">
        <v>-417.79025726220198</v>
      </c>
      <c r="BF47" s="303">
        <v>3.6331130873466995</v>
      </c>
      <c r="BG47" s="303">
        <v>190.87258744221776</v>
      </c>
      <c r="BH47" s="303">
        <v>-187.23947435487105</v>
      </c>
      <c r="BI47" s="304">
        <v>3.6331130873466995</v>
      </c>
      <c r="BJ47" s="304">
        <v>171.32701283571782</v>
      </c>
      <c r="BK47" s="304">
        <v>-167.69389974837111</v>
      </c>
      <c r="BL47" s="303">
        <v>3.6331130873466995</v>
      </c>
      <c r="BM47" s="303">
        <v>179.64844114405548</v>
      </c>
      <c r="BN47" s="303">
        <v>-176.0153280567088</v>
      </c>
      <c r="BO47" s="304">
        <v>3.6331130873466995</v>
      </c>
      <c r="BP47" s="304">
        <v>407.62421039203394</v>
      </c>
      <c r="BQ47" s="304">
        <v>-403.99109730468723</v>
      </c>
      <c r="BR47" s="305">
        <v>6.7723603627504056</v>
      </c>
      <c r="BS47" s="305">
        <v>169.76572278900983</v>
      </c>
      <c r="BT47" s="305">
        <v>-162.99336242625941</v>
      </c>
      <c r="BU47" s="304">
        <v>6.7723603627504056</v>
      </c>
      <c r="BV47" s="304">
        <v>144.70773806564173</v>
      </c>
      <c r="BW47" s="304">
        <v>-137.93537770289134</v>
      </c>
      <c r="BX47" s="303">
        <v>6.7723603627504056</v>
      </c>
      <c r="BY47" s="303">
        <v>150.8045379084538</v>
      </c>
      <c r="BZ47" s="303">
        <v>-144.03217754570341</v>
      </c>
      <c r="CA47" s="304">
        <v>6.7723603627504056</v>
      </c>
      <c r="CB47" s="304">
        <v>449.33307200714739</v>
      </c>
      <c r="CC47" s="304">
        <v>-442.56071164439697</v>
      </c>
      <c r="CD47" s="303">
        <v>5.7241778473638796</v>
      </c>
      <c r="CE47" s="303">
        <v>125.27588208248766</v>
      </c>
      <c r="CF47" s="303">
        <v>-119.55170423512376</v>
      </c>
      <c r="CG47" s="304">
        <v>5.7241778473638796</v>
      </c>
      <c r="CH47" s="304">
        <v>102.10766783836773</v>
      </c>
      <c r="CI47" s="304">
        <v>-96.383489991003842</v>
      </c>
      <c r="CJ47" s="303">
        <v>5.7241778473638796</v>
      </c>
      <c r="CK47" s="303">
        <v>105.86561466576795</v>
      </c>
      <c r="CL47" s="303">
        <v>-100.14143681840406</v>
      </c>
      <c r="CM47" s="304">
        <v>5.7241778473638796</v>
      </c>
      <c r="CN47" s="304">
        <v>449.99147062844861</v>
      </c>
      <c r="CO47" s="304">
        <v>-444.26729278108473</v>
      </c>
      <c r="CP47" s="303">
        <v>6.5771044172528281</v>
      </c>
      <c r="CQ47" s="303">
        <v>167.51055524540311</v>
      </c>
      <c r="CR47" s="303">
        <v>-160.93345082815028</v>
      </c>
      <c r="CS47" s="304">
        <v>6.5771044172528281</v>
      </c>
      <c r="CT47" s="304">
        <v>191.61073509715516</v>
      </c>
      <c r="CU47" s="304">
        <v>-185.03363067990233</v>
      </c>
      <c r="CV47" s="303">
        <v>6.5771044172528281</v>
      </c>
      <c r="CW47" s="303">
        <v>157.13869171009543</v>
      </c>
      <c r="CX47" s="303">
        <v>-150.5615872928426</v>
      </c>
      <c r="CY47" s="304">
        <v>6.5771044172528281</v>
      </c>
      <c r="CZ47" s="304">
        <v>338.2515914854888</v>
      </c>
      <c r="DA47" s="304">
        <v>-331.67448706823598</v>
      </c>
      <c r="DB47" s="303">
        <v>4.2146044172528292</v>
      </c>
      <c r="DC47" s="303">
        <v>181.42000525746892</v>
      </c>
      <c r="DD47" s="303">
        <v>-177.20540084021607</v>
      </c>
      <c r="DE47" s="304">
        <v>4.2146044172528292</v>
      </c>
      <c r="DF47" s="304">
        <v>152.84135259433708</v>
      </c>
      <c r="DG47" s="304">
        <v>-148.62674817708427</v>
      </c>
      <c r="DH47" s="303">
        <v>4.2146044172528292</v>
      </c>
      <c r="DI47" s="303">
        <v>163.81667793884668</v>
      </c>
      <c r="DJ47" s="303">
        <v>-159.60207352159384</v>
      </c>
      <c r="DK47" s="304">
        <v>4.2146044172528292</v>
      </c>
      <c r="DL47" s="304">
        <v>137.65544941509674</v>
      </c>
      <c r="DM47" s="304">
        <v>-133.44084499784393</v>
      </c>
      <c r="DN47" s="303">
        <v>4.0231280722191469</v>
      </c>
      <c r="DO47" s="303">
        <v>71.743820372224931</v>
      </c>
      <c r="DP47" s="303">
        <v>-67.72069230000578</v>
      </c>
      <c r="DQ47" s="304">
        <v>4.0231280722191469</v>
      </c>
      <c r="DR47" s="304">
        <v>119.55340161151014</v>
      </c>
      <c r="DS47" s="304">
        <v>-115.53027353929099</v>
      </c>
      <c r="DT47" s="303">
        <v>4.0231280722191469</v>
      </c>
      <c r="DU47" s="303">
        <v>204.70106040862956</v>
      </c>
      <c r="DV47" s="303">
        <v>-200.67793233641038</v>
      </c>
      <c r="DW47" s="304">
        <v>4.0231280722191469</v>
      </c>
      <c r="DX47" s="304">
        <v>170.8488291278247</v>
      </c>
      <c r="DY47" s="304">
        <v>-166.82570105560555</v>
      </c>
      <c r="DZ47" s="303">
        <v>3.7430447941143967</v>
      </c>
      <c r="EA47" s="303">
        <v>19.799420581280327</v>
      </c>
      <c r="EB47" s="303">
        <v>-16.05637578716593</v>
      </c>
      <c r="EC47" s="304">
        <v>3.7430447941143967</v>
      </c>
      <c r="ED47" s="304">
        <v>155.66931225019681</v>
      </c>
      <c r="EE47" s="304">
        <v>-151.92626745608243</v>
      </c>
      <c r="EF47" s="303">
        <v>3.7430447941143967</v>
      </c>
      <c r="EG47" s="303">
        <v>237.19271502056915</v>
      </c>
      <c r="EH47" s="303">
        <v>-233.44967022645477</v>
      </c>
      <c r="EI47" s="304">
        <v>3.7430447941143967</v>
      </c>
      <c r="EJ47" s="304">
        <v>136.60336700071184</v>
      </c>
      <c r="EK47" s="304">
        <v>-132.86032220659746</v>
      </c>
      <c r="EL47" s="303">
        <v>3.1984700430163748</v>
      </c>
      <c r="EM47" s="303">
        <v>247.79749431832079</v>
      </c>
      <c r="EN47" s="303">
        <v>-244.5990242753044</v>
      </c>
      <c r="EO47" s="304">
        <v>1.8165021272552888</v>
      </c>
      <c r="EP47" s="304">
        <v>150.66161965992688</v>
      </c>
      <c r="EQ47" s="304">
        <v>-148.84511753267159</v>
      </c>
      <c r="ER47" s="303">
        <v>1.4437337987547756</v>
      </c>
      <c r="ES47" s="303">
        <v>171.23697348076647</v>
      </c>
      <c r="ET47" s="303">
        <v>-169.79323968201169</v>
      </c>
      <c r="EU47" s="304">
        <v>1.9588127162703199</v>
      </c>
      <c r="EV47" s="304">
        <v>346.06481541971152</v>
      </c>
      <c r="EW47" s="304">
        <v>-344.10600270344116</v>
      </c>
      <c r="EX47" s="306">
        <v>6.2900025205630596</v>
      </c>
      <c r="EY47" s="306">
        <v>193.78733835505153</v>
      </c>
      <c r="EZ47" s="306">
        <v>-187.49733583448847</v>
      </c>
      <c r="FA47" s="307">
        <v>16.832234473950695</v>
      </c>
      <c r="FB47" s="307">
        <v>156.98384521169166</v>
      </c>
      <c r="FC47" s="307">
        <v>-140.15161073774095</v>
      </c>
      <c r="FD47" s="306">
        <v>27.334904511998964</v>
      </c>
      <c r="FE47" s="306">
        <v>251.74452257652624</v>
      </c>
      <c r="FF47" s="306">
        <v>-224.40961806452728</v>
      </c>
      <c r="FG47" s="304">
        <v>22.37827090035676</v>
      </c>
      <c r="FH47" s="304">
        <v>337.84513173674452</v>
      </c>
      <c r="FI47" s="304">
        <v>-315.46686083638775</v>
      </c>
      <c r="FJ47" s="306">
        <v>18.470757476792574</v>
      </c>
      <c r="FK47" s="306">
        <v>277.87865335789775</v>
      </c>
      <c r="FL47" s="306">
        <v>-259.40789588110522</v>
      </c>
      <c r="FM47" s="307">
        <v>33.114044449706952</v>
      </c>
      <c r="FN47" s="307">
        <v>278.16126767038224</v>
      </c>
      <c r="FO47" s="307">
        <v>-245.04722322067533</v>
      </c>
      <c r="FP47" s="306">
        <v>19.911038993731886</v>
      </c>
      <c r="FQ47" s="306">
        <v>284.9056209196649</v>
      </c>
      <c r="FR47" s="306">
        <v>-264.99458192593301</v>
      </c>
      <c r="FS47" s="307">
        <v>6.0620147745176851</v>
      </c>
      <c r="FT47" s="307">
        <v>295.8608970649737</v>
      </c>
      <c r="FU47" s="307">
        <v>-289.79888229045605</v>
      </c>
    </row>
    <row r="48" spans="1:177" ht="13.9" customHeight="1" x14ac:dyDescent="0.2">
      <c r="A48" s="284"/>
      <c r="H48" s="272" t="s">
        <v>521</v>
      </c>
      <c r="J48" s="303">
        <v>3.75</v>
      </c>
      <c r="K48" s="303">
        <v>47.097745769216473</v>
      </c>
      <c r="L48" s="303">
        <v>-43.347745769216473</v>
      </c>
      <c r="M48" s="304">
        <v>3.75</v>
      </c>
      <c r="N48" s="304">
        <v>47.549109170983442</v>
      </c>
      <c r="O48" s="304">
        <v>-43.799109170983442</v>
      </c>
      <c r="P48" s="303">
        <v>3.75</v>
      </c>
      <c r="Q48" s="303">
        <v>50.140788173740134</v>
      </c>
      <c r="R48" s="303">
        <v>-46.390788173740134</v>
      </c>
      <c r="S48" s="304">
        <v>3.75</v>
      </c>
      <c r="T48" s="304">
        <v>55.590025290582503</v>
      </c>
      <c r="U48" s="304">
        <v>-51.840025290582503</v>
      </c>
      <c r="V48" s="303">
        <v>1.5412053758606605</v>
      </c>
      <c r="W48" s="303">
        <v>66.257515855494418</v>
      </c>
      <c r="X48" s="303">
        <v>-64.716310479633762</v>
      </c>
      <c r="Y48" s="304">
        <v>1.5412053758606605</v>
      </c>
      <c r="Z48" s="304">
        <v>90.411797002376204</v>
      </c>
      <c r="AA48" s="304">
        <v>-88.870591626515548</v>
      </c>
      <c r="AB48" s="303">
        <v>1.5412053758606605</v>
      </c>
      <c r="AC48" s="303">
        <v>89.215668296727074</v>
      </c>
      <c r="AD48" s="303">
        <v>-87.674462920866418</v>
      </c>
      <c r="AE48" s="304">
        <v>1.5412053758606605</v>
      </c>
      <c r="AF48" s="304">
        <v>140.51071780197492</v>
      </c>
      <c r="AG48" s="304">
        <v>-138.96951242611425</v>
      </c>
      <c r="AH48" s="303">
        <v>4.1330653569325948</v>
      </c>
      <c r="AI48" s="303">
        <v>71.131088750906187</v>
      </c>
      <c r="AJ48" s="303">
        <v>-66.998023393973597</v>
      </c>
      <c r="AK48" s="304">
        <v>4.1330653569325948</v>
      </c>
      <c r="AL48" s="304">
        <v>87.687724984887339</v>
      </c>
      <c r="AM48" s="304">
        <v>-83.554659627954749</v>
      </c>
      <c r="AN48" s="303">
        <v>4.1330653569325948</v>
      </c>
      <c r="AO48" s="303">
        <v>69.040902037193945</v>
      </c>
      <c r="AP48" s="303">
        <v>-64.907836680261354</v>
      </c>
      <c r="AQ48" s="304">
        <v>4.1330653569325948</v>
      </c>
      <c r="AR48" s="304">
        <v>61.490352936886154</v>
      </c>
      <c r="AS48" s="304">
        <v>-57.357287579953557</v>
      </c>
      <c r="AT48" s="303">
        <v>4.125</v>
      </c>
      <c r="AU48" s="303">
        <v>61.533429454444089</v>
      </c>
      <c r="AV48" s="303">
        <v>-57.408429454444089</v>
      </c>
      <c r="AW48" s="304">
        <v>4.125</v>
      </c>
      <c r="AX48" s="304">
        <v>70.042308525554688</v>
      </c>
      <c r="AY48" s="304">
        <v>-65.917308525554688</v>
      </c>
      <c r="AZ48" s="303">
        <v>4.125</v>
      </c>
      <c r="BA48" s="303">
        <v>57.223964010369222</v>
      </c>
      <c r="BB48" s="303">
        <v>-53.098964010369222</v>
      </c>
      <c r="BC48" s="304">
        <v>4.125</v>
      </c>
      <c r="BD48" s="304">
        <v>246.45030244793099</v>
      </c>
      <c r="BE48" s="304">
        <v>-242.32530244793099</v>
      </c>
      <c r="BF48" s="303">
        <v>3.6331130873466995</v>
      </c>
      <c r="BG48" s="303">
        <v>121.67758744221774</v>
      </c>
      <c r="BH48" s="303">
        <v>-118.04447435487104</v>
      </c>
      <c r="BI48" s="304">
        <v>3.6331130873466995</v>
      </c>
      <c r="BJ48" s="304">
        <v>123.10301283571782</v>
      </c>
      <c r="BK48" s="304">
        <v>-119.46989974837112</v>
      </c>
      <c r="BL48" s="303">
        <v>3.6331130873466995</v>
      </c>
      <c r="BM48" s="303">
        <v>125.33944114405548</v>
      </c>
      <c r="BN48" s="303">
        <v>-121.70632805670878</v>
      </c>
      <c r="BO48" s="304">
        <v>3.6331130873466995</v>
      </c>
      <c r="BP48" s="304">
        <v>129.51138298854181</v>
      </c>
      <c r="BQ48" s="304">
        <v>-125.87826990119511</v>
      </c>
      <c r="BR48" s="305">
        <v>3.5246989953983388</v>
      </c>
      <c r="BS48" s="305">
        <v>104.67272278900984</v>
      </c>
      <c r="BT48" s="305">
        <v>-101.1480237936115</v>
      </c>
      <c r="BU48" s="304">
        <v>3.5246989953983388</v>
      </c>
      <c r="BV48" s="304">
        <v>104.6202363704152</v>
      </c>
      <c r="BW48" s="304">
        <v>-101.09553737501686</v>
      </c>
      <c r="BX48" s="303">
        <v>3.5246989953983388</v>
      </c>
      <c r="BY48" s="303">
        <v>101.97653790845379</v>
      </c>
      <c r="BZ48" s="303">
        <v>-98.451838913055454</v>
      </c>
      <c r="CA48" s="304">
        <v>3.5246989953983388</v>
      </c>
      <c r="CB48" s="304">
        <v>102.90764888798662</v>
      </c>
      <c r="CC48" s="304">
        <v>-99.382949892588286</v>
      </c>
      <c r="CD48" s="303">
        <v>3.2507735947107763</v>
      </c>
      <c r="CE48" s="303">
        <v>61.91289003353134</v>
      </c>
      <c r="CF48" s="303">
        <v>-58.662116438820561</v>
      </c>
      <c r="CG48" s="304">
        <v>3.2507735947107763</v>
      </c>
      <c r="CH48" s="304">
        <v>62.904690737466382</v>
      </c>
      <c r="CI48" s="304">
        <v>-59.653917142755603</v>
      </c>
      <c r="CJ48" s="303">
        <v>3.2507735947107763</v>
      </c>
      <c r="CK48" s="303">
        <v>67.307626417910882</v>
      </c>
      <c r="CL48" s="303">
        <v>-64.056852823200103</v>
      </c>
      <c r="CM48" s="304">
        <v>3.2507735947107763</v>
      </c>
      <c r="CN48" s="304">
        <v>366.26397212580059</v>
      </c>
      <c r="CO48" s="304">
        <v>-363.01319853108981</v>
      </c>
      <c r="CP48" s="303">
        <v>3.4046044172528287</v>
      </c>
      <c r="CQ48" s="303">
        <v>100.17656996524295</v>
      </c>
      <c r="CR48" s="303">
        <v>-96.771965547990121</v>
      </c>
      <c r="CS48" s="304">
        <v>3.4046044172528287</v>
      </c>
      <c r="CT48" s="304">
        <v>106.11169924175864</v>
      </c>
      <c r="CU48" s="304">
        <v>-102.70709482450582</v>
      </c>
      <c r="CV48" s="303">
        <v>3.4046044172528287</v>
      </c>
      <c r="CW48" s="303">
        <v>110.07590571090923</v>
      </c>
      <c r="CX48" s="303">
        <v>-106.6713012936564</v>
      </c>
      <c r="CY48" s="304">
        <v>3.4046044172528287</v>
      </c>
      <c r="CZ48" s="304">
        <v>278.14101606487662</v>
      </c>
      <c r="DA48" s="304">
        <v>-274.73641164762381</v>
      </c>
      <c r="DB48" s="303">
        <v>3.4046044172528287</v>
      </c>
      <c r="DC48" s="303">
        <v>131.91844546840056</v>
      </c>
      <c r="DD48" s="303">
        <v>-128.51384105114772</v>
      </c>
      <c r="DE48" s="304">
        <v>3.4046044172528287</v>
      </c>
      <c r="DF48" s="304">
        <v>106.08240912644015</v>
      </c>
      <c r="DG48" s="304">
        <v>-102.67780470918733</v>
      </c>
      <c r="DH48" s="303">
        <v>3.4046044172528287</v>
      </c>
      <c r="DI48" s="303">
        <v>106.34670879784069</v>
      </c>
      <c r="DJ48" s="303">
        <v>-102.94210438058786</v>
      </c>
      <c r="DK48" s="304">
        <v>3.4046044172528287</v>
      </c>
      <c r="DL48" s="304">
        <v>100.4310301351438</v>
      </c>
      <c r="DM48" s="304">
        <v>-97.026425717890973</v>
      </c>
      <c r="DN48" s="303">
        <v>3.0131280722191471</v>
      </c>
      <c r="DO48" s="303">
        <v>13.758549563974734</v>
      </c>
      <c r="DP48" s="303">
        <v>-10.745421491755586</v>
      </c>
      <c r="DQ48" s="304">
        <v>3.0131280722191471</v>
      </c>
      <c r="DR48" s="304">
        <v>37.855401611510146</v>
      </c>
      <c r="DS48" s="304">
        <v>-34.842273539291</v>
      </c>
      <c r="DT48" s="303">
        <v>3.0131280722191471</v>
      </c>
      <c r="DU48" s="303">
        <v>160.46406040862951</v>
      </c>
      <c r="DV48" s="303">
        <v>-157.45093233641035</v>
      </c>
      <c r="DW48" s="304">
        <v>3.0131280722191471</v>
      </c>
      <c r="DX48" s="304">
        <v>65.722829127824724</v>
      </c>
      <c r="DY48" s="304">
        <v>-62.709701055605578</v>
      </c>
      <c r="DZ48" s="303">
        <v>2.8830447941143968</v>
      </c>
      <c r="EA48" s="303">
        <v>37.631072527256691</v>
      </c>
      <c r="EB48" s="303">
        <v>-34.748027733142294</v>
      </c>
      <c r="EC48" s="304">
        <v>2.8830447941143968</v>
      </c>
      <c r="ED48" s="304">
        <v>170.72753501557628</v>
      </c>
      <c r="EE48" s="304">
        <v>-167.84449022146188</v>
      </c>
      <c r="EF48" s="303">
        <v>2.8830447941143968</v>
      </c>
      <c r="EG48" s="303">
        <v>145.11391333398706</v>
      </c>
      <c r="EH48" s="303">
        <v>-142.23086853987266</v>
      </c>
      <c r="EI48" s="304">
        <v>2.8830447941143968</v>
      </c>
      <c r="EJ48" s="304">
        <v>31.807973200998489</v>
      </c>
      <c r="EK48" s="304">
        <v>-28.924928406884092</v>
      </c>
      <c r="EL48" s="303">
        <v>2.53991765</v>
      </c>
      <c r="EM48" s="303">
        <v>198.78731063656807</v>
      </c>
      <c r="EN48" s="303">
        <v>-196.24739298656806</v>
      </c>
      <c r="EO48" s="304">
        <v>1.4871438200000002</v>
      </c>
      <c r="EP48" s="304">
        <v>121.15476291786818</v>
      </c>
      <c r="EQ48" s="304">
        <v>-119.66761909786818</v>
      </c>
      <c r="ER48" s="303">
        <v>1.00312409</v>
      </c>
      <c r="ES48" s="303">
        <v>121.33386828803478</v>
      </c>
      <c r="ET48" s="303">
        <v>-120.33074419803478</v>
      </c>
      <c r="EU48" s="304">
        <v>0.96955582000000007</v>
      </c>
      <c r="EV48" s="304">
        <v>205.9962327659444</v>
      </c>
      <c r="EW48" s="304">
        <v>-205.02667694594439</v>
      </c>
      <c r="EX48" s="306">
        <v>5.1926730699999997</v>
      </c>
      <c r="EY48" s="306">
        <v>159.92637182084448</v>
      </c>
      <c r="EZ48" s="306">
        <v>-154.73369875084447</v>
      </c>
      <c r="FA48" s="307">
        <v>14.472359390000001</v>
      </c>
      <c r="FB48" s="307">
        <v>127.17869805367263</v>
      </c>
      <c r="FC48" s="307">
        <v>-112.70633866367262</v>
      </c>
      <c r="FD48" s="306">
        <v>22.050542839999999</v>
      </c>
      <c r="FE48" s="306">
        <v>215.88806021936432</v>
      </c>
      <c r="FF48" s="306">
        <v>-193.83751737936433</v>
      </c>
      <c r="FG48" s="304">
        <v>18.832472299999999</v>
      </c>
      <c r="FH48" s="304">
        <v>267.3918340844026</v>
      </c>
      <c r="FI48" s="304">
        <v>-248.5593617844026</v>
      </c>
      <c r="FJ48" s="306">
        <v>15.55305212</v>
      </c>
      <c r="FK48" s="306">
        <v>223.14817300705343</v>
      </c>
      <c r="FL48" s="306">
        <v>-207.59512088705344</v>
      </c>
      <c r="FM48" s="307">
        <v>26.923210149999992</v>
      </c>
      <c r="FN48" s="307">
        <v>232.93550075193036</v>
      </c>
      <c r="FO48" s="307">
        <v>-206.01229060193037</v>
      </c>
      <c r="FP48" s="306">
        <v>14.372682220000002</v>
      </c>
      <c r="FQ48" s="306">
        <v>205.79498937553893</v>
      </c>
      <c r="FR48" s="306">
        <v>-191.42230715553893</v>
      </c>
      <c r="FS48" s="307">
        <v>4.3737828899999993</v>
      </c>
      <c r="FT48" s="307">
        <v>208.78835437316803</v>
      </c>
      <c r="FU48" s="307">
        <v>-204.41457148316803</v>
      </c>
    </row>
    <row r="49" spans="1:177" ht="13.9" customHeight="1" x14ac:dyDescent="0.2">
      <c r="A49" s="284"/>
      <c r="H49" s="272" t="s">
        <v>522</v>
      </c>
      <c r="J49" s="303">
        <v>0</v>
      </c>
      <c r="K49" s="303">
        <v>48.14</v>
      </c>
      <c r="L49" s="303">
        <v>-48.14</v>
      </c>
      <c r="M49" s="308">
        <v>0</v>
      </c>
      <c r="N49" s="304">
        <v>28.674999999999997</v>
      </c>
      <c r="O49" s="304">
        <v>-28.674999999999997</v>
      </c>
      <c r="P49" s="303">
        <v>0</v>
      </c>
      <c r="Q49" s="303">
        <v>59.902999999999992</v>
      </c>
      <c r="R49" s="303">
        <v>-59.902999999999992</v>
      </c>
      <c r="S49" s="308">
        <v>0</v>
      </c>
      <c r="T49" s="304">
        <v>108.90200000000002</v>
      </c>
      <c r="U49" s="304">
        <v>-108.90200000000002</v>
      </c>
      <c r="V49" s="303"/>
      <c r="W49" s="303">
        <v>71.128</v>
      </c>
      <c r="X49" s="303">
        <v>-71.128</v>
      </c>
      <c r="Y49" s="308"/>
      <c r="Z49" s="304">
        <v>39.605999999999995</v>
      </c>
      <c r="AA49" s="304">
        <v>-39.605999999999995</v>
      </c>
      <c r="AB49" s="303"/>
      <c r="AC49" s="303">
        <v>61.155000000000015</v>
      </c>
      <c r="AD49" s="303">
        <v>-61.155000000000015</v>
      </c>
      <c r="AE49" s="308"/>
      <c r="AF49" s="304">
        <v>178.25400000000002</v>
      </c>
      <c r="AG49" s="304">
        <v>-178.25400000000002</v>
      </c>
      <c r="AH49" s="303"/>
      <c r="AI49" s="303">
        <v>88.616</v>
      </c>
      <c r="AJ49" s="303">
        <v>-88.616</v>
      </c>
      <c r="AK49" s="308"/>
      <c r="AL49" s="304">
        <v>54.073000000000008</v>
      </c>
      <c r="AM49" s="304">
        <v>-54.073000000000008</v>
      </c>
      <c r="AN49" s="303"/>
      <c r="AO49" s="303">
        <v>63.851999999999997</v>
      </c>
      <c r="AP49" s="303">
        <v>-63.851999999999997</v>
      </c>
      <c r="AQ49" s="308"/>
      <c r="AR49" s="304">
        <v>173.88474910488492</v>
      </c>
      <c r="AS49" s="304">
        <v>-173.88474910488492</v>
      </c>
      <c r="AT49" s="303"/>
      <c r="AU49" s="303">
        <v>65.721999999999994</v>
      </c>
      <c r="AV49" s="303">
        <v>-65.721999999999994</v>
      </c>
      <c r="AW49" s="308"/>
      <c r="AX49" s="304">
        <v>52.76700000000001</v>
      </c>
      <c r="AY49" s="304">
        <v>-52.76700000000001</v>
      </c>
      <c r="AZ49" s="303"/>
      <c r="BA49" s="303">
        <v>58.018000000000001</v>
      </c>
      <c r="BB49" s="303">
        <v>-58.018000000000001</v>
      </c>
      <c r="BC49" s="308"/>
      <c r="BD49" s="304">
        <v>175.46495481427095</v>
      </c>
      <c r="BE49" s="304">
        <v>-175.46495481427095</v>
      </c>
      <c r="BF49" s="303"/>
      <c r="BG49" s="303">
        <v>69.195000000000007</v>
      </c>
      <c r="BH49" s="303">
        <v>-69.195000000000007</v>
      </c>
      <c r="BI49" s="308"/>
      <c r="BJ49" s="304">
        <v>48.224000000000004</v>
      </c>
      <c r="BK49" s="304">
        <v>-48.224000000000004</v>
      </c>
      <c r="BL49" s="303"/>
      <c r="BM49" s="303">
        <v>54.309000000000005</v>
      </c>
      <c r="BN49" s="303">
        <v>-54.309000000000005</v>
      </c>
      <c r="BO49" s="308"/>
      <c r="BP49" s="304">
        <v>278.11282740349213</v>
      </c>
      <c r="BQ49" s="304">
        <v>-278.11282740349213</v>
      </c>
      <c r="BR49" s="305">
        <v>3.2476613673520669</v>
      </c>
      <c r="BS49" s="305">
        <v>65.092999999999989</v>
      </c>
      <c r="BT49" s="305">
        <v>-61.845338632647923</v>
      </c>
      <c r="BU49" s="308">
        <v>3.2476613673520669</v>
      </c>
      <c r="BV49" s="304">
        <v>40.087501695226536</v>
      </c>
      <c r="BW49" s="304">
        <v>-36.839840327874469</v>
      </c>
      <c r="BX49" s="303">
        <v>3.2476613673520669</v>
      </c>
      <c r="BY49" s="303">
        <v>48.82800000000001</v>
      </c>
      <c r="BZ49" s="303">
        <v>-45.580338632647944</v>
      </c>
      <c r="CA49" s="308">
        <v>3.2476613673520669</v>
      </c>
      <c r="CB49" s="304">
        <v>346.42542311916077</v>
      </c>
      <c r="CC49" s="304">
        <v>-343.1777617518087</v>
      </c>
      <c r="CD49" s="303">
        <v>2.4734042526531028</v>
      </c>
      <c r="CE49" s="303">
        <v>63.362992048956315</v>
      </c>
      <c r="CF49" s="303">
        <v>-60.889587796303211</v>
      </c>
      <c r="CG49" s="308">
        <v>2.4734042526531028</v>
      </c>
      <c r="CH49" s="304">
        <v>39.20297710090135</v>
      </c>
      <c r="CI49" s="304">
        <v>-36.729572848248246</v>
      </c>
      <c r="CJ49" s="309">
        <v>2.4734042526531028</v>
      </c>
      <c r="CK49" s="303">
        <v>38.557988247857068</v>
      </c>
      <c r="CL49" s="303">
        <v>-36.084583995203964</v>
      </c>
      <c r="CM49" s="308">
        <v>2.4734042526531028</v>
      </c>
      <c r="CN49" s="304">
        <v>83.72749850264799</v>
      </c>
      <c r="CO49" s="304">
        <v>-81.254094249994893</v>
      </c>
      <c r="CP49" s="309">
        <v>3.1724999999999994</v>
      </c>
      <c r="CQ49" s="303">
        <v>67.333985280160178</v>
      </c>
      <c r="CR49" s="303">
        <v>-64.161485280160178</v>
      </c>
      <c r="CS49" s="308">
        <v>3.1724999999999994</v>
      </c>
      <c r="CT49" s="304">
        <v>85.4990358553965</v>
      </c>
      <c r="CU49" s="304">
        <v>-82.3265358553965</v>
      </c>
      <c r="CV49" s="309">
        <v>3.1724999999999994</v>
      </c>
      <c r="CW49" s="303">
        <v>47.062785999186218</v>
      </c>
      <c r="CX49" s="303">
        <v>-43.890285999186219</v>
      </c>
      <c r="CY49" s="308">
        <v>3.1724999999999994</v>
      </c>
      <c r="CZ49" s="304">
        <v>60.110575420612157</v>
      </c>
      <c r="DA49" s="304">
        <v>-56.938075420612158</v>
      </c>
      <c r="DB49" s="309">
        <v>0.81</v>
      </c>
      <c r="DC49" s="303">
        <v>49.501559789068359</v>
      </c>
      <c r="DD49" s="303">
        <v>-48.691559789068357</v>
      </c>
      <c r="DE49" s="308">
        <v>0.81</v>
      </c>
      <c r="DF49" s="304">
        <v>46.758943467896941</v>
      </c>
      <c r="DG49" s="304">
        <v>-45.948943467896939</v>
      </c>
      <c r="DH49" s="309">
        <v>0.81</v>
      </c>
      <c r="DI49" s="303">
        <v>57.469969141005976</v>
      </c>
      <c r="DJ49" s="303">
        <v>-56.659969141005973</v>
      </c>
      <c r="DK49" s="308">
        <v>0.81</v>
      </c>
      <c r="DL49" s="304">
        <v>37.224419279952947</v>
      </c>
      <c r="DM49" s="304">
        <v>-36.414419279952945</v>
      </c>
      <c r="DN49" s="309">
        <v>1.01</v>
      </c>
      <c r="DO49" s="303">
        <v>57.985270808250192</v>
      </c>
      <c r="DP49" s="303">
        <v>-56.975270808250194</v>
      </c>
      <c r="DQ49" s="308">
        <v>1.01</v>
      </c>
      <c r="DR49" s="304">
        <v>81.697999999999993</v>
      </c>
      <c r="DS49" s="304">
        <v>-80.687999999999988</v>
      </c>
      <c r="DT49" s="309">
        <v>1.01</v>
      </c>
      <c r="DU49" s="303">
        <v>44.237000000000045</v>
      </c>
      <c r="DV49" s="303">
        <v>-43.227000000000046</v>
      </c>
      <c r="DW49" s="308">
        <v>1.01</v>
      </c>
      <c r="DX49" s="304">
        <v>105.12599999999998</v>
      </c>
      <c r="DY49" s="304">
        <v>-104.11599999999997</v>
      </c>
      <c r="DZ49" s="309">
        <v>0.8600000000000001</v>
      </c>
      <c r="EA49" s="303">
        <v>-17.831651945976365</v>
      </c>
      <c r="EB49" s="303">
        <v>18.691651945976364</v>
      </c>
      <c r="EC49" s="308">
        <v>0.8600000000000001</v>
      </c>
      <c r="ED49" s="304">
        <v>-15.058222765379462</v>
      </c>
      <c r="EE49" s="304">
        <v>15.918222765379461</v>
      </c>
      <c r="EF49" s="309">
        <v>0.8600000000000001</v>
      </c>
      <c r="EG49" s="303">
        <v>92.078801686582096</v>
      </c>
      <c r="EH49" s="303">
        <v>-91.218801686582097</v>
      </c>
      <c r="EI49" s="308">
        <v>0.8600000000000001</v>
      </c>
      <c r="EJ49" s="304">
        <v>104.79539379971337</v>
      </c>
      <c r="EK49" s="304">
        <v>-103.93539379971337</v>
      </c>
      <c r="EL49" s="309">
        <v>0.65855239301637458</v>
      </c>
      <c r="EM49" s="303">
        <v>49.010183681752721</v>
      </c>
      <c r="EN49" s="303">
        <v>-48.35163128873635</v>
      </c>
      <c r="EO49" s="308">
        <v>0.32935830725528847</v>
      </c>
      <c r="EP49" s="304">
        <v>29.506856742058698</v>
      </c>
      <c r="EQ49" s="304">
        <v>-29.177498434803411</v>
      </c>
      <c r="ER49" s="309">
        <v>0.44060970875477568</v>
      </c>
      <c r="ES49" s="303">
        <v>49.903105192731687</v>
      </c>
      <c r="ET49" s="303">
        <v>-49.462495483976909</v>
      </c>
      <c r="EU49" s="308">
        <v>0.98925689627031976</v>
      </c>
      <c r="EV49" s="304">
        <v>140.06858265376712</v>
      </c>
      <c r="EW49" s="304">
        <v>-139.0793257574968</v>
      </c>
      <c r="EX49" s="310">
        <v>1.0973294505630602</v>
      </c>
      <c r="EY49" s="306">
        <v>33.860966534207051</v>
      </c>
      <c r="EZ49" s="306">
        <v>-32.763637083643992</v>
      </c>
      <c r="FA49" s="311">
        <v>2.3598750839506937</v>
      </c>
      <c r="FB49" s="307">
        <v>29.805147158019018</v>
      </c>
      <c r="FC49" s="307">
        <v>-27.445272074068324</v>
      </c>
      <c r="FD49" s="310">
        <v>5.2843616719989654</v>
      </c>
      <c r="FE49" s="306">
        <v>35.856462357161924</v>
      </c>
      <c r="FF49" s="306">
        <v>-30.572100685162958</v>
      </c>
      <c r="FG49" s="308">
        <v>3.5457986003567621</v>
      </c>
      <c r="FH49" s="304">
        <v>70.453297652341931</v>
      </c>
      <c r="FI49" s="304">
        <v>-66.90749905198517</v>
      </c>
      <c r="FJ49" s="310">
        <v>2.9177053567925753</v>
      </c>
      <c r="FK49" s="306">
        <v>54.730480350844331</v>
      </c>
      <c r="FL49" s="306">
        <v>-51.812774994051757</v>
      </c>
      <c r="FM49" s="311">
        <v>6.1908342997069639</v>
      </c>
      <c r="FN49" s="307">
        <v>45.22576691845191</v>
      </c>
      <c r="FO49" s="307">
        <v>-39.034932618744946</v>
      </c>
      <c r="FP49" s="310">
        <v>5.538356773731886</v>
      </c>
      <c r="FQ49" s="306">
        <v>79.11063154412598</v>
      </c>
      <c r="FR49" s="306">
        <v>-73.572274770394088</v>
      </c>
      <c r="FS49" s="311">
        <v>1.6882318845176862</v>
      </c>
      <c r="FT49" s="307">
        <v>87.07254269180568</v>
      </c>
      <c r="FU49" s="307">
        <v>-85.384310807287989</v>
      </c>
    </row>
    <row r="50" spans="1:177" ht="13.9" customHeight="1" x14ac:dyDescent="0.2">
      <c r="A50" s="284"/>
      <c r="H50" s="272" t="s">
        <v>523</v>
      </c>
      <c r="J50" s="303">
        <v>0</v>
      </c>
      <c r="K50" s="303">
        <v>0</v>
      </c>
      <c r="L50" s="303">
        <v>0</v>
      </c>
      <c r="M50" s="308">
        <v>0</v>
      </c>
      <c r="N50" s="308">
        <v>0</v>
      </c>
      <c r="O50" s="308">
        <v>0</v>
      </c>
      <c r="P50" s="303">
        <v>0</v>
      </c>
      <c r="Q50" s="303">
        <v>0</v>
      </c>
      <c r="R50" s="303">
        <v>0</v>
      </c>
      <c r="S50" s="308">
        <v>0</v>
      </c>
      <c r="T50" s="308">
        <v>0</v>
      </c>
      <c r="U50" s="308">
        <v>0</v>
      </c>
      <c r="V50" s="303"/>
      <c r="W50" s="303"/>
      <c r="X50" s="303">
        <v>0</v>
      </c>
      <c r="Y50" s="308"/>
      <c r="Z50" s="308"/>
      <c r="AA50" s="308">
        <v>0</v>
      </c>
      <c r="AB50" s="303"/>
      <c r="AC50" s="303"/>
      <c r="AD50" s="303"/>
      <c r="AE50" s="308"/>
      <c r="AF50" s="308"/>
      <c r="AG50" s="308">
        <v>0</v>
      </c>
      <c r="AH50" s="303"/>
      <c r="AI50" s="303"/>
      <c r="AJ50" s="303">
        <v>0</v>
      </c>
      <c r="AK50" s="308"/>
      <c r="AL50" s="308"/>
      <c r="AM50" s="308">
        <v>0</v>
      </c>
      <c r="AN50" s="303"/>
      <c r="AO50" s="303"/>
      <c r="AP50" s="303">
        <v>0</v>
      </c>
      <c r="AQ50" s="308"/>
      <c r="AR50" s="308"/>
      <c r="AS50" s="308">
        <v>0</v>
      </c>
      <c r="AT50" s="303"/>
      <c r="AU50" s="303"/>
      <c r="AV50" s="303">
        <v>0</v>
      </c>
      <c r="AW50" s="308"/>
      <c r="AX50" s="308"/>
      <c r="AY50" s="308">
        <v>0</v>
      </c>
      <c r="AZ50" s="303"/>
      <c r="BA50" s="303"/>
      <c r="BB50" s="303">
        <v>0</v>
      </c>
      <c r="BC50" s="308"/>
      <c r="BD50" s="308"/>
      <c r="BE50" s="308">
        <v>0</v>
      </c>
      <c r="BF50" s="303"/>
      <c r="BG50" s="303"/>
      <c r="BH50" s="303">
        <v>0</v>
      </c>
      <c r="BI50" s="308"/>
      <c r="BJ50" s="308"/>
      <c r="BK50" s="308">
        <v>0</v>
      </c>
      <c r="BL50" s="303"/>
      <c r="BM50" s="303"/>
      <c r="BN50" s="303">
        <v>0</v>
      </c>
      <c r="BO50" s="308"/>
      <c r="BP50" s="308"/>
      <c r="BQ50" s="308">
        <v>0</v>
      </c>
      <c r="BR50" s="305"/>
      <c r="BS50" s="305"/>
      <c r="BT50" s="305">
        <v>0</v>
      </c>
      <c r="BU50" s="308"/>
      <c r="BV50" s="308"/>
      <c r="BW50" s="308">
        <v>0</v>
      </c>
      <c r="BX50" s="303"/>
      <c r="BY50" s="303"/>
      <c r="BZ50" s="303">
        <v>0</v>
      </c>
      <c r="CA50" s="308"/>
      <c r="CB50" s="308"/>
      <c r="CC50" s="308">
        <v>0</v>
      </c>
      <c r="CD50" s="303"/>
      <c r="CE50" s="303"/>
      <c r="CF50" s="303">
        <v>0</v>
      </c>
      <c r="CG50" s="308"/>
      <c r="CH50" s="308"/>
      <c r="CI50" s="308">
        <v>0</v>
      </c>
      <c r="CJ50" s="309"/>
      <c r="CK50" s="309"/>
      <c r="CL50" s="309">
        <v>0</v>
      </c>
      <c r="CM50" s="308"/>
      <c r="CN50" s="308"/>
      <c r="CO50" s="308">
        <v>0</v>
      </c>
      <c r="CP50" s="309"/>
      <c r="CQ50" s="309"/>
      <c r="CR50" s="309">
        <v>0</v>
      </c>
      <c r="CS50" s="308"/>
      <c r="CT50" s="308"/>
      <c r="CU50" s="308">
        <v>0</v>
      </c>
      <c r="CV50" s="309"/>
      <c r="CW50" s="309"/>
      <c r="CX50" s="309">
        <v>0</v>
      </c>
      <c r="CY50" s="308"/>
      <c r="CZ50" s="308"/>
      <c r="DA50" s="308">
        <v>0</v>
      </c>
      <c r="DB50" s="309"/>
      <c r="DC50" s="309"/>
      <c r="DD50" s="309">
        <v>0</v>
      </c>
      <c r="DE50" s="308"/>
      <c r="DF50" s="308"/>
      <c r="DG50" s="308">
        <v>0</v>
      </c>
      <c r="DH50" s="309"/>
      <c r="DI50" s="309"/>
      <c r="DJ50" s="309">
        <v>0</v>
      </c>
      <c r="DK50" s="308"/>
      <c r="DL50" s="308"/>
      <c r="DM50" s="308">
        <v>0</v>
      </c>
      <c r="DN50" s="309"/>
      <c r="DO50" s="309"/>
      <c r="DP50" s="309">
        <v>0</v>
      </c>
      <c r="DQ50" s="308"/>
      <c r="DR50" s="308"/>
      <c r="DS50" s="308">
        <v>0</v>
      </c>
      <c r="DT50" s="309"/>
      <c r="DU50" s="309"/>
      <c r="DV50" s="309">
        <v>0</v>
      </c>
      <c r="DW50" s="308"/>
      <c r="DX50" s="308"/>
      <c r="DY50" s="308">
        <v>0</v>
      </c>
      <c r="DZ50" s="309"/>
      <c r="EA50" s="309"/>
      <c r="EB50" s="309">
        <v>0</v>
      </c>
      <c r="EC50" s="308"/>
      <c r="ED50" s="308"/>
      <c r="EE50" s="308">
        <v>0</v>
      </c>
      <c r="EF50" s="309"/>
      <c r="EG50" s="309"/>
      <c r="EH50" s="309">
        <v>0</v>
      </c>
      <c r="EI50" s="308"/>
      <c r="EJ50" s="308"/>
      <c r="EK50" s="308">
        <v>0</v>
      </c>
      <c r="EL50" s="309"/>
      <c r="EM50" s="309"/>
      <c r="EN50" s="309">
        <v>0</v>
      </c>
      <c r="EO50" s="308"/>
      <c r="EP50" s="308"/>
      <c r="EQ50" s="308">
        <v>0</v>
      </c>
      <c r="ER50" s="309"/>
      <c r="ES50" s="309"/>
      <c r="ET50" s="309">
        <v>0</v>
      </c>
      <c r="EU50" s="308"/>
      <c r="EV50" s="308"/>
      <c r="EW50" s="308">
        <v>0</v>
      </c>
      <c r="EX50" s="310"/>
      <c r="EY50" s="310"/>
      <c r="EZ50" s="310">
        <v>0</v>
      </c>
      <c r="FA50" s="311"/>
      <c r="FB50" s="311"/>
      <c r="FC50" s="311">
        <v>0</v>
      </c>
      <c r="FD50" s="310"/>
      <c r="FE50" s="310"/>
      <c r="FF50" s="310">
        <v>0</v>
      </c>
      <c r="FG50" s="308"/>
      <c r="FH50" s="308"/>
      <c r="FI50" s="308">
        <v>0</v>
      </c>
      <c r="FJ50" s="310"/>
      <c r="FK50" s="310"/>
      <c r="FL50" s="310">
        <v>0</v>
      </c>
      <c r="FM50" s="311"/>
      <c r="FN50" s="311"/>
      <c r="FO50" s="311">
        <v>0</v>
      </c>
      <c r="FP50" s="310"/>
      <c r="FQ50" s="310"/>
      <c r="FR50" s="310">
        <v>0</v>
      </c>
      <c r="FS50" s="311"/>
      <c r="FT50" s="311"/>
      <c r="FU50" s="311">
        <v>0</v>
      </c>
    </row>
    <row r="51" spans="1:177" s="284" customFormat="1" ht="13.9" customHeight="1" x14ac:dyDescent="0.2">
      <c r="G51" s="272" t="s">
        <v>524</v>
      </c>
      <c r="H51" s="276"/>
      <c r="I51" s="276"/>
      <c r="J51" s="303">
        <v>0</v>
      </c>
      <c r="K51" s="303">
        <v>139.24735167233732</v>
      </c>
      <c r="L51" s="303">
        <v>-139.24735167233732</v>
      </c>
      <c r="M51" s="308">
        <v>0</v>
      </c>
      <c r="N51" s="304">
        <v>34.372908405452996</v>
      </c>
      <c r="O51" s="304">
        <v>-34.372908405452996</v>
      </c>
      <c r="P51" s="303">
        <v>0</v>
      </c>
      <c r="Q51" s="303">
        <v>154.59940304373757</v>
      </c>
      <c r="R51" s="303">
        <v>-154.59940304373757</v>
      </c>
      <c r="S51" s="308">
        <v>0</v>
      </c>
      <c r="T51" s="304">
        <v>79.946771189760668</v>
      </c>
      <c r="U51" s="304">
        <v>-79.946771189760668</v>
      </c>
      <c r="V51" s="303"/>
      <c r="W51" s="303">
        <v>210.74471561153769</v>
      </c>
      <c r="X51" s="303">
        <v>-210.74471561153769</v>
      </c>
      <c r="Y51" s="308"/>
      <c r="Z51" s="304">
        <v>119.86757992130693</v>
      </c>
      <c r="AA51" s="304">
        <v>-119.86757992130693</v>
      </c>
      <c r="AB51" s="303"/>
      <c r="AC51" s="303">
        <v>171.14089663298924</v>
      </c>
      <c r="AD51" s="303">
        <v>-171.14089663298924</v>
      </c>
      <c r="AE51" s="308"/>
      <c r="AF51" s="304">
        <v>143.35694047456175</v>
      </c>
      <c r="AG51" s="304">
        <v>-143.35694047456175</v>
      </c>
      <c r="AH51" s="303"/>
      <c r="AI51" s="303">
        <v>216.60279226018841</v>
      </c>
      <c r="AJ51" s="303">
        <v>-216.60279226018841</v>
      </c>
      <c r="AK51" s="308"/>
      <c r="AL51" s="304">
        <v>168.95596332240592</v>
      </c>
      <c r="AM51" s="304">
        <v>-168.95596332240592</v>
      </c>
      <c r="AN51" s="303"/>
      <c r="AO51" s="303">
        <v>265.52239702140838</v>
      </c>
      <c r="AP51" s="303">
        <v>-265.52239702140838</v>
      </c>
      <c r="AQ51" s="308"/>
      <c r="AR51" s="304">
        <v>176.61442062850267</v>
      </c>
      <c r="AS51" s="304">
        <v>-176.61442062850267</v>
      </c>
      <c r="AT51" s="303"/>
      <c r="AU51" s="303">
        <v>259.49915122358823</v>
      </c>
      <c r="AV51" s="303">
        <v>-259.49915122358823</v>
      </c>
      <c r="AW51" s="308"/>
      <c r="AX51" s="304">
        <v>176.24859824179771</v>
      </c>
      <c r="AY51" s="304">
        <v>-176.24859824179771</v>
      </c>
      <c r="AZ51" s="303"/>
      <c r="BA51" s="303">
        <v>231.08409392604787</v>
      </c>
      <c r="BB51" s="303">
        <v>-231.08409392604787</v>
      </c>
      <c r="BC51" s="308"/>
      <c r="BD51" s="304">
        <v>177.00941260137193</v>
      </c>
      <c r="BE51" s="304">
        <v>-177.00941260137193</v>
      </c>
      <c r="BF51" s="303"/>
      <c r="BG51" s="303">
        <v>199.83886526787802</v>
      </c>
      <c r="BH51" s="303">
        <v>-199.83886526787802</v>
      </c>
      <c r="BI51" s="308"/>
      <c r="BJ51" s="304">
        <v>206.00539605613906</v>
      </c>
      <c r="BK51" s="304">
        <v>-206.00539605613906</v>
      </c>
      <c r="BL51" s="303"/>
      <c r="BM51" s="303">
        <v>201.02995342303711</v>
      </c>
      <c r="BN51" s="303">
        <v>-201.02995342303711</v>
      </c>
      <c r="BO51" s="308"/>
      <c r="BP51" s="304">
        <v>222.39748628556728</v>
      </c>
      <c r="BQ51" s="304">
        <v>-222.39748628556728</v>
      </c>
      <c r="BR51" s="305"/>
      <c r="BS51" s="305">
        <v>240.48869818284206</v>
      </c>
      <c r="BT51" s="305">
        <v>-240.48869818284206</v>
      </c>
      <c r="BU51" s="308"/>
      <c r="BV51" s="304">
        <v>211.22712923810343</v>
      </c>
      <c r="BW51" s="304">
        <v>-211.22712923810343</v>
      </c>
      <c r="BX51" s="303"/>
      <c r="BY51" s="303">
        <v>245.7367018787439</v>
      </c>
      <c r="BZ51" s="303">
        <v>-245.7367018787439</v>
      </c>
      <c r="CA51" s="308"/>
      <c r="CB51" s="304">
        <v>256.97955490702645</v>
      </c>
      <c r="CC51" s="304">
        <v>-256.97955490702645</v>
      </c>
      <c r="CD51" s="303"/>
      <c r="CE51" s="303">
        <v>252.75951755949274</v>
      </c>
      <c r="CF51" s="303">
        <v>-252.75951755949274</v>
      </c>
      <c r="CG51" s="308"/>
      <c r="CH51" s="304">
        <v>251.11344106333831</v>
      </c>
      <c r="CI51" s="304">
        <v>-251.11344106333831</v>
      </c>
      <c r="CJ51" s="309"/>
      <c r="CK51" s="303">
        <v>244.11687527961689</v>
      </c>
      <c r="CL51" s="303">
        <v>-244.11687527961689</v>
      </c>
      <c r="CM51" s="308"/>
      <c r="CN51" s="304">
        <v>289.25746480615555</v>
      </c>
      <c r="CO51" s="304">
        <v>-289.25746480615555</v>
      </c>
      <c r="CP51" s="309"/>
      <c r="CQ51" s="303">
        <v>179.00952564688293</v>
      </c>
      <c r="CR51" s="303">
        <v>-179.00952564688293</v>
      </c>
      <c r="CS51" s="308"/>
      <c r="CT51" s="304">
        <v>275.21381013986411</v>
      </c>
      <c r="CU51" s="304">
        <v>-275.21381013986411</v>
      </c>
      <c r="CV51" s="309"/>
      <c r="CW51" s="303">
        <v>297.02042956998872</v>
      </c>
      <c r="CX51" s="303">
        <v>-297.02042956998872</v>
      </c>
      <c r="CY51" s="308"/>
      <c r="CZ51" s="304">
        <v>292.30657343320263</v>
      </c>
      <c r="DA51" s="304">
        <v>-292.30657343320263</v>
      </c>
      <c r="DB51" s="309"/>
      <c r="DC51" s="303">
        <v>250.28194823595646</v>
      </c>
      <c r="DD51" s="303">
        <v>-250.28194823595646</v>
      </c>
      <c r="DE51" s="308"/>
      <c r="DF51" s="304">
        <v>234.38610638156635</v>
      </c>
      <c r="DG51" s="304">
        <v>-234.38610638156635</v>
      </c>
      <c r="DH51" s="309"/>
      <c r="DI51" s="303">
        <v>232.00193415546994</v>
      </c>
      <c r="DJ51" s="303">
        <v>-232.00193415546994</v>
      </c>
      <c r="DK51" s="308"/>
      <c r="DL51" s="304">
        <v>226.11242030918112</v>
      </c>
      <c r="DM51" s="304">
        <v>-226.11242030918112</v>
      </c>
      <c r="DN51" s="309"/>
      <c r="DO51" s="303">
        <v>209.84632642554681</v>
      </c>
      <c r="DP51" s="303">
        <v>-209.84632642554681</v>
      </c>
      <c r="DQ51" s="308"/>
      <c r="DR51" s="304">
        <v>196.26888867481884</v>
      </c>
      <c r="DS51" s="304">
        <v>-196.26888867481884</v>
      </c>
      <c r="DT51" s="309"/>
      <c r="DU51" s="303">
        <v>223.91019810183477</v>
      </c>
      <c r="DV51" s="303">
        <v>-223.91019810183477</v>
      </c>
      <c r="DW51" s="308"/>
      <c r="DX51" s="304">
        <v>200.04379655528356</v>
      </c>
      <c r="DY51" s="304">
        <v>-200.04379655528356</v>
      </c>
      <c r="DZ51" s="309"/>
      <c r="EA51" s="303">
        <v>193.58052309016517</v>
      </c>
      <c r="EB51" s="303">
        <v>-193.58052309016517</v>
      </c>
      <c r="EC51" s="308"/>
      <c r="ED51" s="304">
        <v>200.05166505479869</v>
      </c>
      <c r="EE51" s="304">
        <v>-200.05166505479869</v>
      </c>
      <c r="EF51" s="309"/>
      <c r="EG51" s="303">
        <v>183.71609619198875</v>
      </c>
      <c r="EH51" s="303">
        <v>-183.71609619198875</v>
      </c>
      <c r="EI51" s="308"/>
      <c r="EJ51" s="304">
        <v>200.74261829281326</v>
      </c>
      <c r="EK51" s="304">
        <v>-200.74261829281326</v>
      </c>
      <c r="EL51" s="309"/>
      <c r="EM51" s="303">
        <v>205.64863647909289</v>
      </c>
      <c r="EN51" s="303">
        <v>-205.64863647909289</v>
      </c>
      <c r="EO51" s="308"/>
      <c r="EP51" s="304">
        <v>220.68532578087328</v>
      </c>
      <c r="EQ51" s="304">
        <v>-220.68532578087328</v>
      </c>
      <c r="ER51" s="309"/>
      <c r="ES51" s="303">
        <v>211.50820276652351</v>
      </c>
      <c r="ET51" s="303">
        <v>-211.50820276652351</v>
      </c>
      <c r="EU51" s="308"/>
      <c r="EV51" s="304">
        <v>216.54594283644809</v>
      </c>
      <c r="EW51" s="304">
        <v>-216.54594283644809</v>
      </c>
      <c r="EX51" s="310"/>
      <c r="EY51" s="306">
        <v>214.45409872294232</v>
      </c>
      <c r="EZ51" s="306">
        <v>-214.45409872294232</v>
      </c>
      <c r="FA51" s="311"/>
      <c r="FB51" s="307">
        <v>261.2676543065125</v>
      </c>
      <c r="FC51" s="307">
        <v>-261.2676543065125</v>
      </c>
      <c r="FD51" s="310"/>
      <c r="FE51" s="306">
        <v>204.43394306027307</v>
      </c>
      <c r="FF51" s="306">
        <v>-204.43394306027307</v>
      </c>
      <c r="FG51" s="308"/>
      <c r="FH51" s="304">
        <v>197.17299516106146</v>
      </c>
      <c r="FI51" s="304">
        <v>-197.17299516106146</v>
      </c>
      <c r="FJ51" s="310"/>
      <c r="FK51" s="306">
        <v>117.10032682441506</v>
      </c>
      <c r="FL51" s="306">
        <v>-117.10032682441506</v>
      </c>
      <c r="FM51" s="311"/>
      <c r="FN51" s="307">
        <v>116.41080154304311</v>
      </c>
      <c r="FO51" s="307">
        <v>-116.41080154304311</v>
      </c>
      <c r="FP51" s="310"/>
      <c r="FQ51" s="306">
        <v>107.10710572891982</v>
      </c>
      <c r="FR51" s="306">
        <v>-107.10710572891982</v>
      </c>
      <c r="FS51" s="311"/>
      <c r="FT51" s="307">
        <v>108.22250165577837</v>
      </c>
      <c r="FU51" s="307">
        <v>-108.22250165577837</v>
      </c>
    </row>
    <row r="52" spans="1:177" s="284" customFormat="1" ht="13.9" customHeight="1" x14ac:dyDescent="0.2">
      <c r="G52" s="272"/>
      <c r="H52" s="277" t="s">
        <v>525</v>
      </c>
      <c r="I52" s="276"/>
      <c r="J52" s="303">
        <v>0</v>
      </c>
      <c r="K52" s="303">
        <v>0</v>
      </c>
      <c r="L52" s="303">
        <v>0</v>
      </c>
      <c r="M52" s="308">
        <v>0</v>
      </c>
      <c r="N52" s="308">
        <v>0</v>
      </c>
      <c r="O52" s="308">
        <v>0</v>
      </c>
      <c r="P52" s="303">
        <v>0</v>
      </c>
      <c r="Q52" s="303">
        <v>0</v>
      </c>
      <c r="R52" s="303">
        <v>0</v>
      </c>
      <c r="S52" s="308">
        <v>0</v>
      </c>
      <c r="T52" s="308">
        <v>0</v>
      </c>
      <c r="U52" s="308">
        <v>0</v>
      </c>
      <c r="V52" s="303"/>
      <c r="W52" s="303">
        <v>5.3392864129484989</v>
      </c>
      <c r="X52" s="303">
        <v>-5.3392864129484989</v>
      </c>
      <c r="Y52" s="308"/>
      <c r="Z52" s="308">
        <v>5.3392864129484989</v>
      </c>
      <c r="AA52" s="308">
        <v>-5.3392864129484989</v>
      </c>
      <c r="AB52" s="303"/>
      <c r="AC52" s="303">
        <v>5.3392864129484989</v>
      </c>
      <c r="AD52" s="303">
        <v>-5.3392864129484989</v>
      </c>
      <c r="AE52" s="308"/>
      <c r="AF52" s="308">
        <v>5.3392864129484989</v>
      </c>
      <c r="AG52" s="308">
        <v>-5.3392864129484989</v>
      </c>
      <c r="AH52" s="303"/>
      <c r="AI52" s="303">
        <v>12.639947652274493</v>
      </c>
      <c r="AJ52" s="303">
        <v>-12.639947652274493</v>
      </c>
      <c r="AK52" s="308"/>
      <c r="AL52" s="308">
        <v>20.839255036011181</v>
      </c>
      <c r="AM52" s="308">
        <v>-20.839255036011181</v>
      </c>
      <c r="AN52" s="303"/>
      <c r="AO52" s="303">
        <v>17.71697825903426</v>
      </c>
      <c r="AP52" s="303">
        <v>-17.71697825903426</v>
      </c>
      <c r="AQ52" s="308"/>
      <c r="AR52" s="308">
        <v>18.214886482676278</v>
      </c>
      <c r="AS52" s="308">
        <v>-18.214886482676278</v>
      </c>
      <c r="AT52" s="303"/>
      <c r="AU52" s="303">
        <v>18.057982998208054</v>
      </c>
      <c r="AV52" s="303">
        <v>-18.057982998208054</v>
      </c>
      <c r="AW52" s="308"/>
      <c r="AX52" s="308">
        <v>23.530435074273655</v>
      </c>
      <c r="AY52" s="308">
        <v>-23.530435074273655</v>
      </c>
      <c r="AZ52" s="303"/>
      <c r="BA52" s="303">
        <v>16.947971757989421</v>
      </c>
      <c r="BB52" s="303">
        <v>-16.947971757989421</v>
      </c>
      <c r="BC52" s="308"/>
      <c r="BD52" s="308">
        <v>21.476097002030869</v>
      </c>
      <c r="BE52" s="308">
        <v>-21.476097002030869</v>
      </c>
      <c r="BF52" s="303"/>
      <c r="BG52" s="303">
        <v>14.596431421048582</v>
      </c>
      <c r="BH52" s="303">
        <v>-14.596431421048582</v>
      </c>
      <c r="BI52" s="308"/>
      <c r="BJ52" s="304">
        <v>13.584490650055805</v>
      </c>
      <c r="BK52" s="304">
        <v>-13.584490650055805</v>
      </c>
      <c r="BL52" s="303"/>
      <c r="BM52" s="303">
        <v>21.258333353212883</v>
      </c>
      <c r="BN52" s="303">
        <v>-21.258333353212883</v>
      </c>
      <c r="BO52" s="308"/>
      <c r="BP52" s="308">
        <v>23.400695209865692</v>
      </c>
      <c r="BQ52" s="308">
        <v>-23.400695209865692</v>
      </c>
      <c r="BR52" s="305"/>
      <c r="BS52" s="305">
        <v>18.223594515170529</v>
      </c>
      <c r="BT52" s="305">
        <v>-18.223594515170529</v>
      </c>
      <c r="BU52" s="308"/>
      <c r="BV52" s="308">
        <v>21.599984331768383</v>
      </c>
      <c r="BW52" s="308">
        <v>-21.599984331768383</v>
      </c>
      <c r="BX52" s="303"/>
      <c r="BY52" s="303">
        <v>21.445753803976974</v>
      </c>
      <c r="BZ52" s="303">
        <v>-21.445753803976974</v>
      </c>
      <c r="CA52" s="308"/>
      <c r="CB52" s="308">
        <v>20.373889774248791</v>
      </c>
      <c r="CC52" s="308">
        <v>-20.373889774248791</v>
      </c>
      <c r="CD52" s="303"/>
      <c r="CE52" s="303">
        <v>23.975522568415805</v>
      </c>
      <c r="CF52" s="303">
        <v>-23.975522568415805</v>
      </c>
      <c r="CG52" s="308"/>
      <c r="CH52" s="308">
        <v>18.130005553895977</v>
      </c>
      <c r="CI52" s="308">
        <v>-18.130005553895977</v>
      </c>
      <c r="CJ52" s="309"/>
      <c r="CK52" s="309">
        <v>17.652768127993145</v>
      </c>
      <c r="CL52" s="309">
        <v>-17.652768127993145</v>
      </c>
      <c r="CM52" s="308"/>
      <c r="CN52" s="308">
        <v>10.504985823278657</v>
      </c>
      <c r="CO52" s="308">
        <v>-10.504985823278657</v>
      </c>
      <c r="CP52" s="309"/>
      <c r="CQ52" s="309">
        <v>9.241739941264056</v>
      </c>
      <c r="CR52" s="309">
        <v>-9.241739941264056</v>
      </c>
      <c r="CS52" s="308"/>
      <c r="CT52" s="308">
        <v>8.6679692387200866</v>
      </c>
      <c r="CU52" s="308">
        <v>-8.6679692387200866</v>
      </c>
      <c r="CV52" s="309"/>
      <c r="CW52" s="309">
        <v>13.606620600621355</v>
      </c>
      <c r="CX52" s="309">
        <v>-13.606620600621355</v>
      </c>
      <c r="CY52" s="308"/>
      <c r="CZ52" s="308">
        <v>35.735520443640546</v>
      </c>
      <c r="DA52" s="308">
        <v>-35.735520443640546</v>
      </c>
      <c r="DB52" s="309"/>
      <c r="DC52" s="309">
        <v>6.5105300630984289</v>
      </c>
      <c r="DD52" s="309">
        <v>-6.5105300630984289</v>
      </c>
      <c r="DE52" s="308"/>
      <c r="DF52" s="308">
        <v>8.3612760793985554</v>
      </c>
      <c r="DG52" s="308">
        <v>-8.3612760793985554</v>
      </c>
      <c r="DH52" s="309"/>
      <c r="DI52" s="309">
        <v>10.198420465956062</v>
      </c>
      <c r="DJ52" s="309">
        <v>-10.198420465956062</v>
      </c>
      <c r="DK52" s="308"/>
      <c r="DL52" s="308">
        <v>10.005998071719208</v>
      </c>
      <c r="DM52" s="308">
        <v>-10.005998071719208</v>
      </c>
      <c r="DN52" s="309"/>
      <c r="DO52" s="309">
        <v>1.1518830025327083</v>
      </c>
      <c r="DP52" s="309">
        <v>-1.1518830025327083</v>
      </c>
      <c r="DQ52" s="308"/>
      <c r="DR52" s="308">
        <v>3.2667017822803426</v>
      </c>
      <c r="DS52" s="308">
        <v>-3.2667017822803426</v>
      </c>
      <c r="DT52" s="309"/>
      <c r="DU52" s="309">
        <v>13.908238538653453</v>
      </c>
      <c r="DV52" s="309">
        <v>-13.908238538653453</v>
      </c>
      <c r="DW52" s="308"/>
      <c r="DX52" s="308">
        <v>6.7200306130698308</v>
      </c>
      <c r="DY52" s="308">
        <v>-6.7200306130698308</v>
      </c>
      <c r="DZ52" s="309"/>
      <c r="EA52" s="309">
        <v>2.5067173846829243</v>
      </c>
      <c r="EB52" s="309">
        <v>-2.5067173846829243</v>
      </c>
      <c r="EC52" s="308"/>
      <c r="ED52" s="308">
        <v>6.770161711545259</v>
      </c>
      <c r="EE52" s="308">
        <v>-6.770161711545259</v>
      </c>
      <c r="EF52" s="309"/>
      <c r="EG52" s="309">
        <v>6.9032989952363693</v>
      </c>
      <c r="EH52" s="309">
        <v>-6.9032989952363693</v>
      </c>
      <c r="EI52" s="308"/>
      <c r="EJ52" s="308">
        <v>0.68711193204362753</v>
      </c>
      <c r="EK52" s="308">
        <v>-0.68711193204362753</v>
      </c>
      <c r="EL52" s="309"/>
      <c r="EM52" s="309">
        <v>26.058519673686959</v>
      </c>
      <c r="EN52" s="309">
        <v>-26.058519673686959</v>
      </c>
      <c r="EO52" s="308"/>
      <c r="EP52" s="308">
        <v>25.118425858441803</v>
      </c>
      <c r="EQ52" s="308">
        <v>-25.118425858441803</v>
      </c>
      <c r="ER52" s="309"/>
      <c r="ES52" s="309">
        <v>28.537511885840726</v>
      </c>
      <c r="ET52" s="309">
        <v>-28.537511885840726</v>
      </c>
      <c r="EU52" s="308"/>
      <c r="EV52" s="308">
        <v>6.5572696824678882</v>
      </c>
      <c r="EW52" s="308">
        <v>-6.5572696824678882</v>
      </c>
      <c r="EX52" s="310"/>
      <c r="EY52" s="310">
        <v>18.133868329870328</v>
      </c>
      <c r="EZ52" s="310">
        <v>-18.133868329870328</v>
      </c>
      <c r="FA52" s="311"/>
      <c r="FB52" s="311">
        <v>31.1777306816108</v>
      </c>
      <c r="FC52" s="311">
        <v>-31.1777306816108</v>
      </c>
      <c r="FD52" s="310"/>
      <c r="FE52" s="310">
        <v>23.312732032374161</v>
      </c>
      <c r="FF52" s="310">
        <v>-23.312732032374161</v>
      </c>
      <c r="FG52" s="308"/>
      <c r="FH52" s="308">
        <v>13.585445280032104</v>
      </c>
      <c r="FI52" s="308">
        <v>-13.585445280032104</v>
      </c>
      <c r="FJ52" s="310"/>
      <c r="FK52" s="310">
        <v>6.2468789014364887</v>
      </c>
      <c r="FL52" s="310">
        <v>-6.2468789014364887</v>
      </c>
      <c r="FM52" s="311"/>
      <c r="FN52" s="311">
        <v>17.801109876993909</v>
      </c>
      <c r="FO52" s="311">
        <v>-17.801109876993909</v>
      </c>
      <c r="FP52" s="310"/>
      <c r="FQ52" s="310">
        <v>12.840202444360282</v>
      </c>
      <c r="FR52" s="310">
        <v>-12.840202444360282</v>
      </c>
      <c r="FS52" s="311"/>
      <c r="FT52" s="311">
        <v>13.622664791668909</v>
      </c>
      <c r="FU52" s="311">
        <v>-13.622664791668909</v>
      </c>
    </row>
    <row r="53" spans="1:177" s="284" customFormat="1" ht="13.9" customHeight="1" x14ac:dyDescent="0.2">
      <c r="G53" s="272"/>
      <c r="H53" s="277" t="s">
        <v>523</v>
      </c>
      <c r="I53" s="276"/>
      <c r="J53" s="303">
        <v>0</v>
      </c>
      <c r="K53" s="303">
        <v>139.24735167233732</v>
      </c>
      <c r="L53" s="303">
        <v>-139.24735167233732</v>
      </c>
      <c r="M53" s="308">
        <v>0</v>
      </c>
      <c r="N53" s="304">
        <v>34.372908405452996</v>
      </c>
      <c r="O53" s="304">
        <v>-34.372908405452996</v>
      </c>
      <c r="P53" s="303">
        <v>0</v>
      </c>
      <c r="Q53" s="303">
        <v>154.59940304373757</v>
      </c>
      <c r="R53" s="303">
        <v>-154.59940304373757</v>
      </c>
      <c r="S53" s="308">
        <v>0</v>
      </c>
      <c r="T53" s="304">
        <v>79.946771189760668</v>
      </c>
      <c r="U53" s="304">
        <v>-79.946771189760668</v>
      </c>
      <c r="V53" s="303"/>
      <c r="W53" s="303">
        <v>205.40542919858919</v>
      </c>
      <c r="X53" s="303">
        <v>-205.40542919858919</v>
      </c>
      <c r="Y53" s="308"/>
      <c r="Z53" s="304">
        <v>114.52829350835843</v>
      </c>
      <c r="AA53" s="304">
        <v>-114.52829350835843</v>
      </c>
      <c r="AB53" s="303"/>
      <c r="AC53" s="303">
        <v>165.80161022004074</v>
      </c>
      <c r="AD53" s="303">
        <v>-165.80161022004074</v>
      </c>
      <c r="AE53" s="308"/>
      <c r="AF53" s="304">
        <v>138.01765406161326</v>
      </c>
      <c r="AG53" s="304">
        <v>-138.01765406161326</v>
      </c>
      <c r="AH53" s="303"/>
      <c r="AI53" s="303">
        <v>203.96284460791392</v>
      </c>
      <c r="AJ53" s="303">
        <v>-203.96284460791392</v>
      </c>
      <c r="AK53" s="308"/>
      <c r="AL53" s="304">
        <v>148.11670828639473</v>
      </c>
      <c r="AM53" s="304">
        <v>-148.11670828639473</v>
      </c>
      <c r="AN53" s="303"/>
      <c r="AO53" s="303">
        <v>247.8054187623741</v>
      </c>
      <c r="AP53" s="303">
        <v>-247.8054187623741</v>
      </c>
      <c r="AQ53" s="308"/>
      <c r="AR53" s="304">
        <v>158.39953414582641</v>
      </c>
      <c r="AS53" s="304">
        <v>-158.39953414582641</v>
      </c>
      <c r="AT53" s="303"/>
      <c r="AU53" s="303">
        <v>241.44116822538015</v>
      </c>
      <c r="AV53" s="303">
        <v>-241.44116822538015</v>
      </c>
      <c r="AW53" s="308"/>
      <c r="AX53" s="304">
        <v>152.71816316752407</v>
      </c>
      <c r="AY53" s="304">
        <v>-152.71816316752407</v>
      </c>
      <c r="AZ53" s="303"/>
      <c r="BA53" s="303">
        <v>214.13612216805845</v>
      </c>
      <c r="BB53" s="303">
        <v>-214.13612216805845</v>
      </c>
      <c r="BC53" s="308"/>
      <c r="BD53" s="304">
        <v>155.53331559934105</v>
      </c>
      <c r="BE53" s="304">
        <v>-155.53331559934105</v>
      </c>
      <c r="BF53" s="303"/>
      <c r="BG53" s="303">
        <v>185.24243384682944</v>
      </c>
      <c r="BH53" s="303">
        <v>-185.24243384682944</v>
      </c>
      <c r="BI53" s="308"/>
      <c r="BJ53" s="304">
        <v>192.42090540608325</v>
      </c>
      <c r="BK53" s="304">
        <v>-192.42090540608325</v>
      </c>
      <c r="BL53" s="303"/>
      <c r="BM53" s="303">
        <v>179.77162006982422</v>
      </c>
      <c r="BN53" s="303">
        <v>-179.77162006982422</v>
      </c>
      <c r="BO53" s="308"/>
      <c r="BP53" s="304">
        <v>198.99679107570159</v>
      </c>
      <c r="BQ53" s="304">
        <v>-198.99679107570159</v>
      </c>
      <c r="BR53" s="305"/>
      <c r="BS53" s="305">
        <v>222.26510366767153</v>
      </c>
      <c r="BT53" s="305">
        <v>-222.26510366767153</v>
      </c>
      <c r="BU53" s="308"/>
      <c r="BV53" s="304">
        <v>189.62714490633505</v>
      </c>
      <c r="BW53" s="304">
        <v>-189.62714490633505</v>
      </c>
      <c r="BX53" s="303"/>
      <c r="BY53" s="303">
        <v>224.29094807476693</v>
      </c>
      <c r="BZ53" s="303">
        <v>-224.29094807476693</v>
      </c>
      <c r="CA53" s="308"/>
      <c r="CB53" s="304">
        <v>236.60566513277769</v>
      </c>
      <c r="CC53" s="304">
        <v>-236.60566513277769</v>
      </c>
      <c r="CD53" s="303"/>
      <c r="CE53" s="303">
        <v>228.78399499107692</v>
      </c>
      <c r="CF53" s="303">
        <v>-228.78399499107692</v>
      </c>
      <c r="CG53" s="308"/>
      <c r="CH53" s="304">
        <v>232.98343550944233</v>
      </c>
      <c r="CI53" s="304">
        <v>-232.98343550944233</v>
      </c>
      <c r="CJ53" s="309"/>
      <c r="CK53" s="303">
        <v>226.46410715162375</v>
      </c>
      <c r="CL53" s="303">
        <v>-226.46410715162375</v>
      </c>
      <c r="CM53" s="308"/>
      <c r="CN53" s="304">
        <v>278.75247898287688</v>
      </c>
      <c r="CO53" s="304">
        <v>-278.75247898287688</v>
      </c>
      <c r="CP53" s="309"/>
      <c r="CQ53" s="303">
        <v>169.76778570561888</v>
      </c>
      <c r="CR53" s="303">
        <v>-169.76778570561888</v>
      </c>
      <c r="CS53" s="308"/>
      <c r="CT53" s="304">
        <v>266.545840901144</v>
      </c>
      <c r="CU53" s="304">
        <v>-266.545840901144</v>
      </c>
      <c r="CV53" s="309"/>
      <c r="CW53" s="303">
        <v>283.41380896936738</v>
      </c>
      <c r="CX53" s="303">
        <v>-283.41380896936738</v>
      </c>
      <c r="CY53" s="308"/>
      <c r="CZ53" s="304">
        <v>256.57105298956208</v>
      </c>
      <c r="DA53" s="304">
        <v>-256.57105298956208</v>
      </c>
      <c r="DB53" s="309"/>
      <c r="DC53" s="303">
        <v>243.77141817285803</v>
      </c>
      <c r="DD53" s="303">
        <v>-243.77141817285803</v>
      </c>
      <c r="DE53" s="308"/>
      <c r="DF53" s="304">
        <v>226.0248303021678</v>
      </c>
      <c r="DG53" s="304">
        <v>-226.0248303021678</v>
      </c>
      <c r="DH53" s="309"/>
      <c r="DI53" s="303">
        <v>221.80351368951386</v>
      </c>
      <c r="DJ53" s="303">
        <v>-221.80351368951386</v>
      </c>
      <c r="DK53" s="308"/>
      <c r="DL53" s="304">
        <v>216.10642223746191</v>
      </c>
      <c r="DM53" s="304">
        <v>-216.10642223746191</v>
      </c>
      <c r="DN53" s="309"/>
      <c r="DO53" s="303">
        <v>208.69444342301409</v>
      </c>
      <c r="DP53" s="303">
        <v>-208.69444342301409</v>
      </c>
      <c r="DQ53" s="308"/>
      <c r="DR53" s="304">
        <v>193.0021868925385</v>
      </c>
      <c r="DS53" s="304">
        <v>-193.0021868925385</v>
      </c>
      <c r="DT53" s="309"/>
      <c r="DU53" s="303">
        <v>210.00195956318132</v>
      </c>
      <c r="DV53" s="303">
        <v>-210.00195956318132</v>
      </c>
      <c r="DW53" s="308"/>
      <c r="DX53" s="304">
        <v>193.32376594221373</v>
      </c>
      <c r="DY53" s="304">
        <v>-193.32376594221373</v>
      </c>
      <c r="DZ53" s="309"/>
      <c r="EA53" s="303">
        <v>191.07380570548224</v>
      </c>
      <c r="EB53" s="303">
        <v>-191.07380570548224</v>
      </c>
      <c r="EC53" s="308"/>
      <c r="ED53" s="304">
        <v>193.28150334325343</v>
      </c>
      <c r="EE53" s="304">
        <v>-193.28150334325343</v>
      </c>
      <c r="EF53" s="309"/>
      <c r="EG53" s="303">
        <v>176.81279719675237</v>
      </c>
      <c r="EH53" s="303">
        <v>-176.81279719675237</v>
      </c>
      <c r="EI53" s="308"/>
      <c r="EJ53" s="304">
        <v>200.05550636076964</v>
      </c>
      <c r="EK53" s="304">
        <v>-200.05550636076964</v>
      </c>
      <c r="EL53" s="309"/>
      <c r="EM53" s="303">
        <v>179.59011680540593</v>
      </c>
      <c r="EN53" s="303">
        <v>-179.59011680540593</v>
      </c>
      <c r="EO53" s="308"/>
      <c r="EP53" s="304">
        <v>195.56689992243147</v>
      </c>
      <c r="EQ53" s="304">
        <v>-195.56689992243147</v>
      </c>
      <c r="ER53" s="309"/>
      <c r="ES53" s="303">
        <v>182.97069088068278</v>
      </c>
      <c r="ET53" s="303">
        <v>-182.97069088068278</v>
      </c>
      <c r="EU53" s="308"/>
      <c r="EV53" s="304">
        <v>209.98867315398022</v>
      </c>
      <c r="EW53" s="304">
        <v>-209.98867315398022</v>
      </c>
      <c r="EX53" s="310"/>
      <c r="EY53" s="306">
        <v>196.32023039307199</v>
      </c>
      <c r="EZ53" s="306">
        <v>-196.32023039307199</v>
      </c>
      <c r="FA53" s="311"/>
      <c r="FB53" s="307">
        <v>230.08992362490167</v>
      </c>
      <c r="FC53" s="307">
        <v>-230.08992362490167</v>
      </c>
      <c r="FD53" s="310"/>
      <c r="FE53" s="306">
        <v>181.12121102789891</v>
      </c>
      <c r="FF53" s="306">
        <v>-181.12121102789891</v>
      </c>
      <c r="FG53" s="308"/>
      <c r="FH53" s="304">
        <v>183.58754988102936</v>
      </c>
      <c r="FI53" s="304">
        <v>-183.58754988102936</v>
      </c>
      <c r="FJ53" s="310"/>
      <c r="FK53" s="306">
        <v>110.85344792297857</v>
      </c>
      <c r="FL53" s="306">
        <v>-110.85344792297857</v>
      </c>
      <c r="FM53" s="311"/>
      <c r="FN53" s="307">
        <v>98.609691666049201</v>
      </c>
      <c r="FO53" s="307">
        <v>-98.609691666049201</v>
      </c>
      <c r="FP53" s="310"/>
      <c r="FQ53" s="306">
        <v>94.266903284559532</v>
      </c>
      <c r="FR53" s="306">
        <v>-94.266903284559532</v>
      </c>
      <c r="FS53" s="311"/>
      <c r="FT53" s="307">
        <v>94.599836864109463</v>
      </c>
      <c r="FU53" s="307">
        <v>-94.599836864109463</v>
      </c>
    </row>
    <row r="54" spans="1:177" s="284" customFormat="1" ht="13.9" customHeight="1" x14ac:dyDescent="0.2">
      <c r="G54" s="272"/>
      <c r="H54" s="277" t="s">
        <v>526</v>
      </c>
      <c r="I54" s="276"/>
      <c r="J54" s="303">
        <v>0</v>
      </c>
      <c r="K54" s="303">
        <v>10.481640027167412</v>
      </c>
      <c r="L54" s="303">
        <v>-10.481640027167412</v>
      </c>
      <c r="M54" s="308">
        <v>0</v>
      </c>
      <c r="N54" s="304">
        <v>7.5869295830959578</v>
      </c>
      <c r="O54" s="304">
        <v>-7.5869295830959578</v>
      </c>
      <c r="P54" s="303">
        <v>0</v>
      </c>
      <c r="Q54" s="303">
        <v>17.775118351426581</v>
      </c>
      <c r="R54" s="303">
        <v>-17.775118351426581</v>
      </c>
      <c r="S54" s="308">
        <v>0</v>
      </c>
      <c r="T54" s="304">
        <v>9.9994288482750271</v>
      </c>
      <c r="U54" s="304">
        <v>-9.9994288482750271</v>
      </c>
      <c r="V54" s="303"/>
      <c r="W54" s="303">
        <v>26.481687370804739</v>
      </c>
      <c r="X54" s="303">
        <v>-26.481687370804739</v>
      </c>
      <c r="Y54" s="308"/>
      <c r="Z54" s="304">
        <v>3.2746841119979968</v>
      </c>
      <c r="AA54" s="304">
        <v>-3.2746841119979968</v>
      </c>
      <c r="AB54" s="303"/>
      <c r="AC54" s="303">
        <v>5.621489494610806</v>
      </c>
      <c r="AD54" s="303">
        <v>-5.621489494610806</v>
      </c>
      <c r="AE54" s="308"/>
      <c r="AF54" s="304">
        <v>12.927309058885857</v>
      </c>
      <c r="AG54" s="304">
        <v>-12.927309058885857</v>
      </c>
      <c r="AH54" s="303"/>
      <c r="AI54" s="303">
        <v>18.355273152487239</v>
      </c>
      <c r="AJ54" s="303">
        <v>-18.355273152487239</v>
      </c>
      <c r="AK54" s="308"/>
      <c r="AL54" s="304">
        <v>16.03066515197041</v>
      </c>
      <c r="AM54" s="304">
        <v>-16.03066515197041</v>
      </c>
      <c r="AN54" s="303"/>
      <c r="AO54" s="303">
        <v>14.660763558486776</v>
      </c>
      <c r="AP54" s="303">
        <v>-14.660763558486776</v>
      </c>
      <c r="AQ54" s="308"/>
      <c r="AR54" s="304">
        <v>12.157046902011221</v>
      </c>
      <c r="AS54" s="304">
        <v>-12.157046902011221</v>
      </c>
      <c r="AT54" s="303"/>
      <c r="AU54" s="303">
        <v>15.213644794897938</v>
      </c>
      <c r="AV54" s="303">
        <v>-15.213644794897938</v>
      </c>
      <c r="AW54" s="308"/>
      <c r="AX54" s="304">
        <v>6.1408056322147493</v>
      </c>
      <c r="AY54" s="304">
        <v>-6.1408056322147493</v>
      </c>
      <c r="AZ54" s="303"/>
      <c r="BA54" s="303">
        <v>5.2725567342490338</v>
      </c>
      <c r="BB54" s="303">
        <v>-5.2725567342490338</v>
      </c>
      <c r="BC54" s="308"/>
      <c r="BD54" s="304">
        <v>5.2549794984818106E-2</v>
      </c>
      <c r="BE54" s="304">
        <v>-5.2549794984818106E-2</v>
      </c>
      <c r="BF54" s="303"/>
      <c r="BG54" s="303">
        <v>1.0395986597399132</v>
      </c>
      <c r="BH54" s="303">
        <v>-1.0395986597399132</v>
      </c>
      <c r="BI54" s="308"/>
      <c r="BJ54" s="304">
        <v>2.8215356167981182E-2</v>
      </c>
      <c r="BK54" s="304">
        <v>-2.8215356167981182E-2</v>
      </c>
      <c r="BL54" s="303"/>
      <c r="BM54" s="303">
        <v>2.2149437084368635E-2</v>
      </c>
      <c r="BN54" s="303">
        <v>-2.2149437084368635E-2</v>
      </c>
      <c r="BO54" s="308"/>
      <c r="BP54" s="304">
        <v>6.0030866186137326E-3</v>
      </c>
      <c r="BQ54" s="304">
        <v>-6.0030866186137326E-3</v>
      </c>
      <c r="BR54" s="305"/>
      <c r="BS54" s="305">
        <v>3.1320413941837655E-2</v>
      </c>
      <c r="BT54" s="305">
        <v>-3.1320413941837655E-2</v>
      </c>
      <c r="BU54" s="308"/>
      <c r="BV54" s="304">
        <v>1.5330503515496905</v>
      </c>
      <c r="BW54" s="304">
        <v>-1.5330503515496905</v>
      </c>
      <c r="BX54" s="303"/>
      <c r="BY54" s="303">
        <v>4.1185531075431934</v>
      </c>
      <c r="BZ54" s="303">
        <v>-4.1185531075431934</v>
      </c>
      <c r="CA54" s="308"/>
      <c r="CB54" s="304">
        <v>0.72568056367350475</v>
      </c>
      <c r="CC54" s="304">
        <v>-0.72568056367350475</v>
      </c>
      <c r="CD54" s="303"/>
      <c r="CE54" s="303">
        <v>0.38153392738343117</v>
      </c>
      <c r="CF54" s="303">
        <v>-0.38153392738343117</v>
      </c>
      <c r="CG54" s="308"/>
      <c r="CH54" s="304">
        <v>0.68794311188584933</v>
      </c>
      <c r="CI54" s="304">
        <v>-0.68794311188584933</v>
      </c>
      <c r="CJ54" s="309"/>
      <c r="CK54" s="303">
        <v>2.7764913478463376</v>
      </c>
      <c r="CL54" s="303">
        <v>-2.7764913478463376</v>
      </c>
      <c r="CM54" s="308"/>
      <c r="CN54" s="304">
        <v>0.59614834667063066</v>
      </c>
      <c r="CO54" s="304">
        <v>-0.59614834667063066</v>
      </c>
      <c r="CP54" s="309"/>
      <c r="CQ54" s="303">
        <v>3.3224276040699841</v>
      </c>
      <c r="CR54" s="303">
        <v>-3.3224276040699841</v>
      </c>
      <c r="CS54" s="308"/>
      <c r="CT54" s="304">
        <v>1.88976235187832</v>
      </c>
      <c r="CU54" s="304">
        <v>-1.88976235187832</v>
      </c>
      <c r="CV54" s="309"/>
      <c r="CW54" s="303">
        <v>0.5406866338930385</v>
      </c>
      <c r="CX54" s="303">
        <v>-0.5406866338930385</v>
      </c>
      <c r="CY54" s="308"/>
      <c r="CZ54" s="304">
        <v>1.7572943052416463</v>
      </c>
      <c r="DA54" s="304">
        <v>-1.7572943052416463</v>
      </c>
      <c r="DB54" s="309"/>
      <c r="DC54" s="303">
        <v>2.1594408191242715</v>
      </c>
      <c r="DD54" s="303">
        <v>-2.1594408191242715</v>
      </c>
      <c r="DE54" s="308"/>
      <c r="DF54" s="304">
        <v>1.7733320786900025E-2</v>
      </c>
      <c r="DG54" s="304">
        <v>-1.7733320786900025E-2</v>
      </c>
      <c r="DH54" s="309"/>
      <c r="DI54" s="303">
        <v>1.1187906391281466E-2</v>
      </c>
      <c r="DJ54" s="303">
        <v>-1.1187906391281466E-2</v>
      </c>
      <c r="DK54" s="308"/>
      <c r="DL54" s="304">
        <v>2.374268670962168E-2</v>
      </c>
      <c r="DM54" s="304">
        <v>-2.374268670962168E-2</v>
      </c>
      <c r="DN54" s="309"/>
      <c r="DO54" s="303">
        <v>0.12441978200875721</v>
      </c>
      <c r="DP54" s="303">
        <v>-0.12441978200875721</v>
      </c>
      <c r="DQ54" s="308"/>
      <c r="DR54" s="304">
        <v>8.3751481585121364E-3</v>
      </c>
      <c r="DS54" s="304">
        <v>-8.3751481585121364E-3</v>
      </c>
      <c r="DT54" s="309"/>
      <c r="DU54" s="303">
        <v>8.0819354971255093E-3</v>
      </c>
      <c r="DV54" s="303">
        <v>-8.0819354971255093E-3</v>
      </c>
      <c r="DW54" s="308"/>
      <c r="DX54" s="304">
        <v>3.7560590757770018E-3</v>
      </c>
      <c r="DY54" s="304">
        <v>-3.7560590757770018E-3</v>
      </c>
      <c r="DZ54" s="309"/>
      <c r="EA54" s="303">
        <v>4.4612859776233917E-3</v>
      </c>
      <c r="EB54" s="303">
        <v>-4.4612859776233917E-3</v>
      </c>
      <c r="EC54" s="308"/>
      <c r="ED54" s="304">
        <v>7.8689325358651571E-2</v>
      </c>
      <c r="EE54" s="304">
        <v>-7.8689325358651571E-2</v>
      </c>
      <c r="EF54" s="309"/>
      <c r="EG54" s="303">
        <v>0.15349341952384829</v>
      </c>
      <c r="EH54" s="303">
        <v>-0.15349341952384829</v>
      </c>
      <c r="EI54" s="308"/>
      <c r="EJ54" s="304">
        <v>0.37131869905939358</v>
      </c>
      <c r="EK54" s="304">
        <v>-0.37131869905939358</v>
      </c>
      <c r="EL54" s="309"/>
      <c r="EM54" s="303">
        <v>0.66938807389647992</v>
      </c>
      <c r="EN54" s="303">
        <v>-0.66938807389647992</v>
      </c>
      <c r="EO54" s="308"/>
      <c r="EP54" s="304">
        <v>1.5757499838963467</v>
      </c>
      <c r="EQ54" s="304">
        <v>-1.5757499838963467</v>
      </c>
      <c r="ER54" s="309"/>
      <c r="ES54" s="303">
        <v>4.8983024220666511</v>
      </c>
      <c r="ET54" s="303">
        <v>-4.8983024220666511</v>
      </c>
      <c r="EU54" s="308"/>
      <c r="EV54" s="304">
        <v>12.981137714274727</v>
      </c>
      <c r="EW54" s="304">
        <v>-12.981137714274727</v>
      </c>
      <c r="EX54" s="310"/>
      <c r="EY54" s="306">
        <v>14.135140820852564</v>
      </c>
      <c r="EZ54" s="306">
        <v>-14.135140820852564</v>
      </c>
      <c r="FA54" s="311"/>
      <c r="FB54" s="307">
        <v>10.790274474615819</v>
      </c>
      <c r="FC54" s="307">
        <v>-10.790274474615819</v>
      </c>
      <c r="FD54" s="310"/>
      <c r="FE54" s="315">
        <v>0.33098480744711034</v>
      </c>
      <c r="FF54" s="306">
        <v>-0.33098480744711034</v>
      </c>
      <c r="FG54" s="308"/>
      <c r="FH54" s="304">
        <v>7.5539279642710955E-2</v>
      </c>
      <c r="FI54" s="304">
        <v>-7.5539279642710955E-2</v>
      </c>
      <c r="FJ54" s="310"/>
      <c r="FK54" s="306">
        <v>0.33177731815811351</v>
      </c>
      <c r="FL54" s="306">
        <v>-0.33177731815811351</v>
      </c>
      <c r="FM54" s="311"/>
      <c r="FN54" s="307">
        <v>0.10543007297015193</v>
      </c>
      <c r="FO54" s="307">
        <v>-0.10543007297015193</v>
      </c>
      <c r="FP54" s="310"/>
      <c r="FQ54" s="306">
        <v>9.0913181723859642E-3</v>
      </c>
      <c r="FR54" s="306">
        <v>-9.0913181723859642E-3</v>
      </c>
      <c r="FS54" s="311"/>
      <c r="FT54" s="307">
        <v>2.0258428901196595E-2</v>
      </c>
      <c r="FU54" s="307">
        <v>-2.0258428901196595E-2</v>
      </c>
    </row>
    <row r="55" spans="1:177" s="284" customFormat="1" ht="13.9" customHeight="1" x14ac:dyDescent="0.2">
      <c r="G55" s="272"/>
      <c r="H55" s="277" t="s">
        <v>527</v>
      </c>
      <c r="I55" s="276"/>
      <c r="J55" s="303">
        <v>0</v>
      </c>
      <c r="K55" s="303">
        <v>128.76571164516992</v>
      </c>
      <c r="L55" s="303">
        <v>-128.76571164516992</v>
      </c>
      <c r="M55" s="308">
        <v>0</v>
      </c>
      <c r="N55" s="304">
        <v>26.785978822357041</v>
      </c>
      <c r="O55" s="304">
        <v>-26.785978822357041</v>
      </c>
      <c r="P55" s="303">
        <v>0</v>
      </c>
      <c r="Q55" s="303">
        <v>136.82428469231098</v>
      </c>
      <c r="R55" s="303">
        <v>-136.82428469231098</v>
      </c>
      <c r="S55" s="308">
        <v>0</v>
      </c>
      <c r="T55" s="304">
        <v>69.947342341485637</v>
      </c>
      <c r="U55" s="304">
        <v>-69.947342341485637</v>
      </c>
      <c r="V55" s="303"/>
      <c r="W55" s="303">
        <v>178.92374182778445</v>
      </c>
      <c r="X55" s="303">
        <v>-178.92374182778445</v>
      </c>
      <c r="Y55" s="308"/>
      <c r="Z55" s="304">
        <v>111.25360939636043</v>
      </c>
      <c r="AA55" s="304">
        <v>-111.25360939636043</v>
      </c>
      <c r="AB55" s="303"/>
      <c r="AC55" s="303">
        <v>160.18012072542993</v>
      </c>
      <c r="AD55" s="303">
        <v>-160.18012072542993</v>
      </c>
      <c r="AE55" s="308"/>
      <c r="AF55" s="304">
        <v>125.0903450027274</v>
      </c>
      <c r="AG55" s="304">
        <v>-125.0903450027274</v>
      </c>
      <c r="AH55" s="303"/>
      <c r="AI55" s="303">
        <v>185.60757145542669</v>
      </c>
      <c r="AJ55" s="303">
        <v>-185.60757145542669</v>
      </c>
      <c r="AK55" s="308"/>
      <c r="AL55" s="304">
        <v>132.0860431344243</v>
      </c>
      <c r="AM55" s="304">
        <v>-132.0860431344243</v>
      </c>
      <c r="AN55" s="303"/>
      <c r="AO55" s="303">
        <v>233.14465520388734</v>
      </c>
      <c r="AP55" s="303">
        <v>-233.14465520388734</v>
      </c>
      <c r="AQ55" s="308"/>
      <c r="AR55" s="304">
        <v>146.24248724381519</v>
      </c>
      <c r="AS55" s="304">
        <v>-146.24248724381519</v>
      </c>
      <c r="AT55" s="303"/>
      <c r="AU55" s="303">
        <v>226.22752343048222</v>
      </c>
      <c r="AV55" s="303">
        <v>-226.22752343048222</v>
      </c>
      <c r="AW55" s="308"/>
      <c r="AX55" s="304">
        <v>146.57735753530932</v>
      </c>
      <c r="AY55" s="304">
        <v>-146.57735753530932</v>
      </c>
      <c r="AZ55" s="303"/>
      <c r="BA55" s="303">
        <v>208.86356543380941</v>
      </c>
      <c r="BB55" s="303">
        <v>-208.86356543380941</v>
      </c>
      <c r="BC55" s="308"/>
      <c r="BD55" s="304">
        <v>155.48076580435622</v>
      </c>
      <c r="BE55" s="304">
        <v>-155.48076580435622</v>
      </c>
      <c r="BF55" s="303"/>
      <c r="BG55" s="303">
        <v>184.20283518708953</v>
      </c>
      <c r="BH55" s="303">
        <v>-184.20283518708953</v>
      </c>
      <c r="BI55" s="308"/>
      <c r="BJ55" s="304">
        <v>192.39269004991527</v>
      </c>
      <c r="BK55" s="304">
        <v>-192.39269004991527</v>
      </c>
      <c r="BL55" s="303"/>
      <c r="BM55" s="303">
        <v>179.74947063273984</v>
      </c>
      <c r="BN55" s="303">
        <v>-179.74947063273984</v>
      </c>
      <c r="BO55" s="308"/>
      <c r="BP55" s="304">
        <v>198.99078798908297</v>
      </c>
      <c r="BQ55" s="304">
        <v>-198.99078798908297</v>
      </c>
      <c r="BR55" s="305"/>
      <c r="BS55" s="305">
        <v>222.23378325372968</v>
      </c>
      <c r="BT55" s="305">
        <v>-222.23378325372968</v>
      </c>
      <c r="BU55" s="308"/>
      <c r="BV55" s="304">
        <v>188.09409455478536</v>
      </c>
      <c r="BW55" s="304">
        <v>-188.09409455478536</v>
      </c>
      <c r="BX55" s="303"/>
      <c r="BY55" s="303">
        <v>220.17239496722374</v>
      </c>
      <c r="BZ55" s="303">
        <v>-220.17239496722374</v>
      </c>
      <c r="CA55" s="308"/>
      <c r="CB55" s="304">
        <v>235.87998456910418</v>
      </c>
      <c r="CC55" s="304">
        <v>-235.87998456910418</v>
      </c>
      <c r="CD55" s="303"/>
      <c r="CE55" s="303">
        <v>228.40246106369349</v>
      </c>
      <c r="CF55" s="303">
        <v>-228.40246106369349</v>
      </c>
      <c r="CG55" s="308"/>
      <c r="CH55" s="304">
        <v>232.29549239755647</v>
      </c>
      <c r="CI55" s="304">
        <v>-232.29549239755647</v>
      </c>
      <c r="CJ55" s="309"/>
      <c r="CK55" s="303">
        <v>223.68761580377742</v>
      </c>
      <c r="CL55" s="303">
        <v>-223.68761580377742</v>
      </c>
      <c r="CM55" s="308"/>
      <c r="CN55" s="304">
        <v>278.15633063620623</v>
      </c>
      <c r="CO55" s="304">
        <v>-278.15633063620623</v>
      </c>
      <c r="CP55" s="309"/>
      <c r="CQ55" s="303">
        <v>166.44535810154889</v>
      </c>
      <c r="CR55" s="303">
        <v>-166.44535810154889</v>
      </c>
      <c r="CS55" s="308"/>
      <c r="CT55" s="304">
        <v>264.65607854926566</v>
      </c>
      <c r="CU55" s="304">
        <v>-264.65607854926566</v>
      </c>
      <c r="CV55" s="309"/>
      <c r="CW55" s="303">
        <v>282.87312233547436</v>
      </c>
      <c r="CX55" s="303">
        <v>-282.87312233547436</v>
      </c>
      <c r="CY55" s="308"/>
      <c r="CZ55" s="304">
        <v>254.81375868432045</v>
      </c>
      <c r="DA55" s="304">
        <v>-254.81375868432045</v>
      </c>
      <c r="DB55" s="309"/>
      <c r="DC55" s="303">
        <v>241.61197735373375</v>
      </c>
      <c r="DD55" s="303">
        <v>-241.61197735373375</v>
      </c>
      <c r="DE55" s="308"/>
      <c r="DF55" s="304">
        <v>226.0070969813809</v>
      </c>
      <c r="DG55" s="304">
        <v>-226.0070969813809</v>
      </c>
      <c r="DH55" s="309"/>
      <c r="DI55" s="303">
        <v>221.79232578312258</v>
      </c>
      <c r="DJ55" s="303">
        <v>-221.79232578312258</v>
      </c>
      <c r="DK55" s="308"/>
      <c r="DL55" s="304">
        <v>216.08267955075229</v>
      </c>
      <c r="DM55" s="304">
        <v>-216.08267955075229</v>
      </c>
      <c r="DN55" s="309"/>
      <c r="DO55" s="303">
        <v>208.57002364100535</v>
      </c>
      <c r="DP55" s="303">
        <v>-208.57002364100535</v>
      </c>
      <c r="DQ55" s="308"/>
      <c r="DR55" s="304">
        <v>192.99381174438</v>
      </c>
      <c r="DS55" s="304">
        <v>-192.99381174438</v>
      </c>
      <c r="DT55" s="309"/>
      <c r="DU55" s="303">
        <v>209.99387762768418</v>
      </c>
      <c r="DV55" s="303">
        <v>-209.99387762768418</v>
      </c>
      <c r="DW55" s="308"/>
      <c r="DX55" s="304">
        <v>193.32000988313794</v>
      </c>
      <c r="DY55" s="304">
        <v>-193.32000988313794</v>
      </c>
      <c r="DZ55" s="309"/>
      <c r="EA55" s="303">
        <v>191.06934441950463</v>
      </c>
      <c r="EB55" s="303">
        <v>-191.06934441950463</v>
      </c>
      <c r="EC55" s="308"/>
      <c r="ED55" s="304">
        <v>193.20281401789478</v>
      </c>
      <c r="EE55" s="304">
        <v>-193.20281401789478</v>
      </c>
      <c r="EF55" s="309"/>
      <c r="EG55" s="303">
        <v>176.65930377722853</v>
      </c>
      <c r="EH55" s="303">
        <v>-176.65930377722853</v>
      </c>
      <c r="EI55" s="308"/>
      <c r="EJ55" s="304">
        <v>199.68418766171024</v>
      </c>
      <c r="EK55" s="304">
        <v>-199.68418766171024</v>
      </c>
      <c r="EL55" s="309"/>
      <c r="EM55" s="303">
        <v>178.92072873150946</v>
      </c>
      <c r="EN55" s="303">
        <v>-178.92072873150946</v>
      </c>
      <c r="EO55" s="308"/>
      <c r="EP55" s="304">
        <v>193.99114993853513</v>
      </c>
      <c r="EQ55" s="304">
        <v>-193.99114993853513</v>
      </c>
      <c r="ER55" s="309"/>
      <c r="ES55" s="303">
        <v>178.07238845861613</v>
      </c>
      <c r="ET55" s="303">
        <v>-178.07238845861613</v>
      </c>
      <c r="EU55" s="308"/>
      <c r="EV55" s="304">
        <v>197.00753543970549</v>
      </c>
      <c r="EW55" s="304">
        <v>-197.00753543970549</v>
      </c>
      <c r="EX55" s="310"/>
      <c r="EY55" s="306">
        <v>182.18508957221943</v>
      </c>
      <c r="EZ55" s="306">
        <v>-182.18508957221943</v>
      </c>
      <c r="FA55" s="311"/>
      <c r="FB55" s="307">
        <v>219.29964915028586</v>
      </c>
      <c r="FC55" s="307">
        <v>-219.29964915028586</v>
      </c>
      <c r="FD55" s="310"/>
      <c r="FE55" s="306">
        <v>180.79022622045179</v>
      </c>
      <c r="FF55" s="306">
        <v>-180.79022622045179</v>
      </c>
      <c r="FG55" s="308"/>
      <c r="FH55" s="304">
        <v>183.51201060138666</v>
      </c>
      <c r="FI55" s="304">
        <v>-183.51201060138666</v>
      </c>
      <c r="FJ55" s="310"/>
      <c r="FK55" s="306">
        <v>110.52167060482046</v>
      </c>
      <c r="FL55" s="306">
        <v>-110.52167060482046</v>
      </c>
      <c r="FM55" s="311"/>
      <c r="FN55" s="307">
        <v>98.50426159307905</v>
      </c>
      <c r="FO55" s="307">
        <v>-98.50426159307905</v>
      </c>
      <c r="FP55" s="310"/>
      <c r="FQ55" s="306">
        <v>94.257811966387152</v>
      </c>
      <c r="FR55" s="306">
        <v>-94.257811966387152</v>
      </c>
      <c r="FS55" s="311"/>
      <c r="FT55" s="307">
        <v>94.579578435208262</v>
      </c>
      <c r="FU55" s="307">
        <v>-94.579578435208262</v>
      </c>
    </row>
    <row r="56" spans="1:177" s="284" customFormat="1" ht="13.9" customHeight="1" x14ac:dyDescent="0.2">
      <c r="G56" s="272"/>
      <c r="H56" s="321" t="s">
        <v>528</v>
      </c>
      <c r="I56" s="276"/>
      <c r="J56" s="303"/>
      <c r="K56" s="303"/>
      <c r="L56" s="303"/>
      <c r="M56" s="308"/>
      <c r="N56" s="304"/>
      <c r="O56" s="304"/>
      <c r="P56" s="303"/>
      <c r="Q56" s="303"/>
      <c r="R56" s="303"/>
      <c r="S56" s="308"/>
      <c r="T56" s="304"/>
      <c r="U56" s="304"/>
      <c r="V56" s="303"/>
      <c r="W56" s="303"/>
      <c r="X56" s="303"/>
      <c r="Y56" s="308"/>
      <c r="Z56" s="304"/>
      <c r="AA56" s="304"/>
      <c r="AB56" s="303"/>
      <c r="AC56" s="303"/>
      <c r="AD56" s="303"/>
      <c r="AE56" s="308"/>
      <c r="AF56" s="304"/>
      <c r="AG56" s="304"/>
      <c r="AH56" s="303"/>
      <c r="AI56" s="303"/>
      <c r="AJ56" s="303"/>
      <c r="AK56" s="308"/>
      <c r="AL56" s="304"/>
      <c r="AM56" s="304"/>
      <c r="AN56" s="303"/>
      <c r="AO56" s="303"/>
      <c r="AP56" s="303"/>
      <c r="AQ56" s="308"/>
      <c r="AR56" s="304"/>
      <c r="AS56" s="304"/>
      <c r="AT56" s="303"/>
      <c r="AU56" s="303"/>
      <c r="AV56" s="303"/>
      <c r="AW56" s="308"/>
      <c r="AX56" s="304"/>
      <c r="AY56" s="304"/>
      <c r="AZ56" s="303"/>
      <c r="BA56" s="303"/>
      <c r="BB56" s="303"/>
      <c r="BC56" s="308"/>
      <c r="BD56" s="304"/>
      <c r="BE56" s="304"/>
      <c r="BF56" s="303"/>
      <c r="BG56" s="303"/>
      <c r="BH56" s="303"/>
      <c r="BI56" s="308"/>
      <c r="BJ56" s="304"/>
      <c r="BK56" s="304"/>
      <c r="BL56" s="303"/>
      <c r="BM56" s="303"/>
      <c r="BN56" s="303"/>
      <c r="BO56" s="308"/>
      <c r="BP56" s="304"/>
      <c r="BQ56" s="304"/>
      <c r="BR56" s="305"/>
      <c r="BS56" s="305"/>
      <c r="BT56" s="305"/>
      <c r="BU56" s="308"/>
      <c r="BV56" s="304"/>
      <c r="BW56" s="304"/>
      <c r="BX56" s="303"/>
      <c r="BY56" s="303"/>
      <c r="BZ56" s="303"/>
      <c r="CA56" s="308"/>
      <c r="CB56" s="304"/>
      <c r="CC56" s="304"/>
      <c r="CD56" s="303"/>
      <c r="CE56" s="303"/>
      <c r="CF56" s="303"/>
      <c r="CG56" s="308"/>
      <c r="CH56" s="304"/>
      <c r="CI56" s="304"/>
      <c r="CJ56" s="309"/>
      <c r="CK56" s="303"/>
      <c r="CL56" s="303"/>
      <c r="CM56" s="308"/>
      <c r="CN56" s="304"/>
      <c r="CO56" s="304"/>
      <c r="CP56" s="309"/>
      <c r="CQ56" s="303"/>
      <c r="CR56" s="303"/>
      <c r="CS56" s="308"/>
      <c r="CT56" s="304"/>
      <c r="CU56" s="304"/>
      <c r="CV56" s="309"/>
      <c r="CW56" s="303"/>
      <c r="CX56" s="303"/>
      <c r="CY56" s="308"/>
      <c r="CZ56" s="304"/>
      <c r="DA56" s="304"/>
      <c r="DB56" s="309"/>
      <c r="DC56" s="303"/>
      <c r="DD56" s="303"/>
      <c r="DE56" s="308"/>
      <c r="DF56" s="304"/>
      <c r="DG56" s="304"/>
      <c r="DH56" s="309"/>
      <c r="DI56" s="303"/>
      <c r="DJ56" s="303"/>
      <c r="DK56" s="308"/>
      <c r="DL56" s="304"/>
      <c r="DM56" s="304"/>
      <c r="DN56" s="309"/>
      <c r="DO56" s="303"/>
      <c r="DP56" s="303"/>
      <c r="DQ56" s="308"/>
      <c r="DR56" s="304"/>
      <c r="DS56" s="304"/>
      <c r="DT56" s="309"/>
      <c r="DU56" s="303"/>
      <c r="DV56" s="303"/>
      <c r="DW56" s="308"/>
      <c r="DX56" s="304"/>
      <c r="DY56" s="304"/>
      <c r="DZ56" s="309"/>
      <c r="EA56" s="303">
        <v>190.89298325000001</v>
      </c>
      <c r="EB56" s="303"/>
      <c r="EC56" s="308"/>
      <c r="ED56" s="304">
        <v>0</v>
      </c>
      <c r="EE56" s="304"/>
      <c r="EF56" s="309"/>
      <c r="EG56" s="303">
        <v>0</v>
      </c>
      <c r="EH56" s="303"/>
      <c r="EI56" s="308"/>
      <c r="EJ56" s="304">
        <v>0</v>
      </c>
      <c r="EK56" s="304"/>
      <c r="EL56" s="309"/>
      <c r="EM56" s="303">
        <v>0</v>
      </c>
      <c r="EN56" s="303"/>
      <c r="EO56" s="308"/>
      <c r="EP56" s="304">
        <v>0</v>
      </c>
      <c r="EQ56" s="304"/>
      <c r="ER56" s="309"/>
      <c r="ES56" s="303">
        <v>0</v>
      </c>
      <c r="ET56" s="303"/>
      <c r="EU56" s="308"/>
      <c r="EV56" s="304">
        <v>0</v>
      </c>
      <c r="EW56" s="304"/>
      <c r="EX56" s="310"/>
      <c r="EY56" s="306">
        <v>0</v>
      </c>
      <c r="EZ56" s="306"/>
      <c r="FA56" s="311"/>
      <c r="FB56" s="307">
        <v>0</v>
      </c>
      <c r="FC56" s="307"/>
      <c r="FD56" s="310"/>
      <c r="FE56" s="306">
        <v>0</v>
      </c>
      <c r="FF56" s="306"/>
      <c r="FG56" s="308"/>
      <c r="FH56" s="304">
        <v>172.41808973000002</v>
      </c>
      <c r="FI56" s="304"/>
      <c r="FJ56" s="310"/>
      <c r="FK56" s="306">
        <v>105.82309604000001</v>
      </c>
      <c r="FL56" s="306"/>
      <c r="FM56" s="311"/>
      <c r="FN56" s="307">
        <v>80.180999999999997</v>
      </c>
      <c r="FO56" s="307"/>
      <c r="FP56" s="310"/>
      <c r="FQ56" s="306">
        <v>88.546496179999991</v>
      </c>
      <c r="FR56" s="306"/>
      <c r="FS56" s="311"/>
      <c r="FT56" s="307">
        <v>73.587999999999994</v>
      </c>
      <c r="FU56" s="307"/>
    </row>
    <row r="57" spans="1:177" s="284" customFormat="1" ht="13.9" customHeight="1" x14ac:dyDescent="0.2">
      <c r="G57" s="272"/>
      <c r="H57" s="321" t="s">
        <v>529</v>
      </c>
      <c r="I57" s="276"/>
      <c r="J57" s="303"/>
      <c r="K57" s="303"/>
      <c r="L57" s="303"/>
      <c r="M57" s="308"/>
      <c r="N57" s="304"/>
      <c r="O57" s="304"/>
      <c r="P57" s="303"/>
      <c r="Q57" s="303"/>
      <c r="R57" s="303"/>
      <c r="S57" s="308"/>
      <c r="T57" s="304"/>
      <c r="U57" s="304"/>
      <c r="V57" s="303"/>
      <c r="W57" s="303"/>
      <c r="X57" s="303"/>
      <c r="Y57" s="308"/>
      <c r="Z57" s="304"/>
      <c r="AA57" s="304"/>
      <c r="AB57" s="303"/>
      <c r="AC57" s="303"/>
      <c r="AD57" s="303"/>
      <c r="AE57" s="308"/>
      <c r="AF57" s="304"/>
      <c r="AG57" s="304"/>
      <c r="AH57" s="303"/>
      <c r="AI57" s="303"/>
      <c r="AJ57" s="303"/>
      <c r="AK57" s="308"/>
      <c r="AL57" s="304"/>
      <c r="AM57" s="304"/>
      <c r="AN57" s="303"/>
      <c r="AO57" s="303"/>
      <c r="AP57" s="303"/>
      <c r="AQ57" s="308"/>
      <c r="AR57" s="304"/>
      <c r="AS57" s="304"/>
      <c r="AT57" s="303"/>
      <c r="AU57" s="303"/>
      <c r="AV57" s="303"/>
      <c r="AW57" s="308"/>
      <c r="AX57" s="304"/>
      <c r="AY57" s="304"/>
      <c r="AZ57" s="303"/>
      <c r="BA57" s="303"/>
      <c r="BB57" s="303"/>
      <c r="BC57" s="308"/>
      <c r="BD57" s="304"/>
      <c r="BE57" s="304"/>
      <c r="BF57" s="303"/>
      <c r="BG57" s="303"/>
      <c r="BH57" s="303"/>
      <c r="BI57" s="308"/>
      <c r="BJ57" s="304"/>
      <c r="BK57" s="304"/>
      <c r="BL57" s="303"/>
      <c r="BM57" s="303"/>
      <c r="BN57" s="303"/>
      <c r="BO57" s="308"/>
      <c r="BP57" s="304"/>
      <c r="BQ57" s="304"/>
      <c r="BR57" s="305"/>
      <c r="BS57" s="305"/>
      <c r="BT57" s="305"/>
      <c r="BU57" s="308"/>
      <c r="BV57" s="304"/>
      <c r="BW57" s="304"/>
      <c r="BX57" s="303"/>
      <c r="BY57" s="303"/>
      <c r="BZ57" s="303"/>
      <c r="CA57" s="308"/>
      <c r="CB57" s="304"/>
      <c r="CC57" s="304"/>
      <c r="CD57" s="303"/>
      <c r="CE57" s="303"/>
      <c r="CF57" s="303"/>
      <c r="CG57" s="308"/>
      <c r="CH57" s="304"/>
      <c r="CI57" s="304"/>
      <c r="CJ57" s="309"/>
      <c r="CK57" s="303"/>
      <c r="CL57" s="303"/>
      <c r="CM57" s="308"/>
      <c r="CN57" s="304"/>
      <c r="CO57" s="304"/>
      <c r="CP57" s="309"/>
      <c r="CQ57" s="303"/>
      <c r="CR57" s="303"/>
      <c r="CS57" s="308"/>
      <c r="CT57" s="304"/>
      <c r="CU57" s="304"/>
      <c r="CV57" s="309"/>
      <c r="CW57" s="303"/>
      <c r="CX57" s="303"/>
      <c r="CY57" s="308"/>
      <c r="CZ57" s="304"/>
      <c r="DA57" s="304"/>
      <c r="DB57" s="309"/>
      <c r="DC57" s="303"/>
      <c r="DD57" s="303"/>
      <c r="DE57" s="308"/>
      <c r="DF57" s="304"/>
      <c r="DG57" s="304"/>
      <c r="DH57" s="309"/>
      <c r="DI57" s="303"/>
      <c r="DJ57" s="303"/>
      <c r="DK57" s="308"/>
      <c r="DL57" s="304"/>
      <c r="DM57" s="304"/>
      <c r="DN57" s="309"/>
      <c r="DO57" s="303"/>
      <c r="DP57" s="303"/>
      <c r="DQ57" s="308"/>
      <c r="DR57" s="304"/>
      <c r="DS57" s="304"/>
      <c r="DT57" s="309"/>
      <c r="DU57" s="303"/>
      <c r="DV57" s="303"/>
      <c r="DW57" s="308"/>
      <c r="DX57" s="304"/>
      <c r="DY57" s="304"/>
      <c r="DZ57" s="309"/>
      <c r="EA57" s="303">
        <v>0</v>
      </c>
      <c r="EB57" s="303"/>
      <c r="EC57" s="308"/>
      <c r="ED57" s="304">
        <v>187.00580324999999</v>
      </c>
      <c r="EE57" s="304"/>
      <c r="EF57" s="309"/>
      <c r="EG57" s="303">
        <v>176.52030387500002</v>
      </c>
      <c r="EH57" s="303"/>
      <c r="EI57" s="308"/>
      <c r="EJ57" s="304">
        <v>187.00580324999999</v>
      </c>
      <c r="EK57" s="304"/>
      <c r="EL57" s="309"/>
      <c r="EM57" s="303">
        <v>176.52030387500002</v>
      </c>
      <c r="EN57" s="303"/>
      <c r="EO57" s="308"/>
      <c r="EP57" s="304">
        <v>187.00580324999999</v>
      </c>
      <c r="EQ57" s="304"/>
      <c r="ER57" s="309"/>
      <c r="ES57" s="303">
        <v>176.52030387500002</v>
      </c>
      <c r="ET57" s="303"/>
      <c r="EU57" s="308"/>
      <c r="EV57" s="304">
        <v>187.00580324999999</v>
      </c>
      <c r="EW57" s="304"/>
      <c r="EX57" s="310"/>
      <c r="EY57" s="306">
        <v>176.65730387500003</v>
      </c>
      <c r="EZ57" s="306"/>
      <c r="FA57" s="311"/>
      <c r="FB57" s="307">
        <v>207.06549999999999</v>
      </c>
      <c r="FC57" s="307"/>
      <c r="FD57" s="310"/>
      <c r="FE57" s="306">
        <v>177.20422450000001</v>
      </c>
      <c r="FF57" s="306"/>
      <c r="FG57" s="308"/>
      <c r="FH57" s="304">
        <v>0</v>
      </c>
      <c r="FI57" s="304"/>
      <c r="FJ57" s="310"/>
      <c r="FK57" s="306">
        <v>0</v>
      </c>
      <c r="FL57" s="306"/>
      <c r="FM57" s="311"/>
      <c r="FN57" s="307">
        <v>0</v>
      </c>
      <c r="FO57" s="307"/>
      <c r="FP57" s="310"/>
      <c r="FQ57" s="306">
        <v>0</v>
      </c>
      <c r="FR57" s="306"/>
      <c r="FS57" s="311"/>
      <c r="FT57" s="307">
        <v>0</v>
      </c>
      <c r="FU57" s="307"/>
    </row>
    <row r="58" spans="1:177" s="284" customFormat="1" ht="13.9" customHeight="1" x14ac:dyDescent="0.2">
      <c r="G58" s="272"/>
      <c r="H58" s="322" t="s">
        <v>530</v>
      </c>
      <c r="I58" s="276"/>
      <c r="J58" s="303"/>
      <c r="K58" s="303"/>
      <c r="L58" s="303"/>
      <c r="M58" s="308"/>
      <c r="N58" s="304"/>
      <c r="O58" s="304"/>
      <c r="P58" s="303"/>
      <c r="Q58" s="303"/>
      <c r="R58" s="303"/>
      <c r="S58" s="308"/>
      <c r="T58" s="304"/>
      <c r="U58" s="304"/>
      <c r="V58" s="303"/>
      <c r="W58" s="303"/>
      <c r="X58" s="303"/>
      <c r="Y58" s="308"/>
      <c r="Z58" s="304"/>
      <c r="AA58" s="304"/>
      <c r="AB58" s="303"/>
      <c r="AC58" s="303"/>
      <c r="AD58" s="303"/>
      <c r="AE58" s="308"/>
      <c r="AF58" s="304"/>
      <c r="AG58" s="304"/>
      <c r="AH58" s="303"/>
      <c r="AI58" s="303"/>
      <c r="AJ58" s="303"/>
      <c r="AK58" s="308"/>
      <c r="AL58" s="304"/>
      <c r="AM58" s="304"/>
      <c r="AN58" s="303"/>
      <c r="AO58" s="303"/>
      <c r="AP58" s="303"/>
      <c r="AQ58" s="308"/>
      <c r="AR58" s="304"/>
      <c r="AS58" s="304"/>
      <c r="AT58" s="303"/>
      <c r="AU58" s="303"/>
      <c r="AV58" s="303"/>
      <c r="AW58" s="308"/>
      <c r="AX58" s="304"/>
      <c r="AY58" s="304"/>
      <c r="AZ58" s="303"/>
      <c r="BA58" s="303"/>
      <c r="BB58" s="303"/>
      <c r="BC58" s="308"/>
      <c r="BD58" s="304"/>
      <c r="BE58" s="304"/>
      <c r="BF58" s="303"/>
      <c r="BG58" s="303"/>
      <c r="BH58" s="303"/>
      <c r="BI58" s="308"/>
      <c r="BJ58" s="304"/>
      <c r="BK58" s="304"/>
      <c r="BL58" s="303"/>
      <c r="BM58" s="303"/>
      <c r="BN58" s="303"/>
      <c r="BO58" s="308"/>
      <c r="BP58" s="304"/>
      <c r="BQ58" s="304"/>
      <c r="BR58" s="305"/>
      <c r="BS58" s="305"/>
      <c r="BT58" s="305"/>
      <c r="BU58" s="308"/>
      <c r="BV58" s="304"/>
      <c r="BW58" s="304"/>
      <c r="BX58" s="303"/>
      <c r="BY58" s="303"/>
      <c r="BZ58" s="303"/>
      <c r="CA58" s="308"/>
      <c r="CB58" s="304"/>
      <c r="CC58" s="304"/>
      <c r="CD58" s="303"/>
      <c r="CE58" s="303"/>
      <c r="CF58" s="303"/>
      <c r="CG58" s="308"/>
      <c r="CH58" s="304"/>
      <c r="CI58" s="304"/>
      <c r="CJ58" s="309"/>
      <c r="CK58" s="303"/>
      <c r="CL58" s="303"/>
      <c r="CM58" s="308"/>
      <c r="CN58" s="304"/>
      <c r="CO58" s="304"/>
      <c r="CP58" s="309"/>
      <c r="CQ58" s="303"/>
      <c r="CR58" s="303"/>
      <c r="CS58" s="308"/>
      <c r="CT58" s="304"/>
      <c r="CU58" s="304"/>
      <c r="CV58" s="309"/>
      <c r="CW58" s="303"/>
      <c r="CX58" s="303"/>
      <c r="CY58" s="308"/>
      <c r="CZ58" s="304"/>
      <c r="DA58" s="304"/>
      <c r="DB58" s="309"/>
      <c r="DC58" s="303"/>
      <c r="DD58" s="303"/>
      <c r="DE58" s="308"/>
      <c r="DF58" s="304"/>
      <c r="DG58" s="304"/>
      <c r="DH58" s="309"/>
      <c r="DI58" s="303"/>
      <c r="DJ58" s="303"/>
      <c r="DK58" s="308"/>
      <c r="DL58" s="304"/>
      <c r="DM58" s="304"/>
      <c r="DN58" s="309"/>
      <c r="DO58" s="303"/>
      <c r="DP58" s="303"/>
      <c r="DQ58" s="308"/>
      <c r="DR58" s="304"/>
      <c r="DS58" s="304"/>
      <c r="DT58" s="309"/>
      <c r="DU58" s="303"/>
      <c r="DV58" s="303"/>
      <c r="DW58" s="308"/>
      <c r="DX58" s="304"/>
      <c r="DY58" s="304"/>
      <c r="DZ58" s="309"/>
      <c r="EA58" s="312">
        <v>0.17636116950462799</v>
      </c>
      <c r="EB58" s="303"/>
      <c r="EC58" s="308"/>
      <c r="ED58" s="313">
        <v>7.2010767894795741E-2</v>
      </c>
      <c r="EE58" s="304"/>
      <c r="EF58" s="309"/>
      <c r="EG58" s="312">
        <v>0.13899990222849504</v>
      </c>
      <c r="EH58" s="303"/>
      <c r="EI58" s="308"/>
      <c r="EJ58" s="313">
        <v>0.42838441171025676</v>
      </c>
      <c r="EK58" s="304"/>
      <c r="EL58" s="309"/>
      <c r="EM58" s="312">
        <v>2.4004248565094373</v>
      </c>
      <c r="EN58" s="303"/>
      <c r="EO58" s="308"/>
      <c r="EP58" s="313">
        <v>0.64597168853515485</v>
      </c>
      <c r="EQ58" s="304"/>
      <c r="ER58" s="309"/>
      <c r="ES58" s="303">
        <v>1.5520845836161203</v>
      </c>
      <c r="ET58" s="303"/>
      <c r="EU58" s="308"/>
      <c r="EV58" s="313">
        <v>3.6548540647055119</v>
      </c>
      <c r="EW58" s="304"/>
      <c r="EX58" s="310"/>
      <c r="EY58" s="306">
        <v>5.5277856972194126</v>
      </c>
      <c r="EZ58" s="306"/>
      <c r="FA58" s="311"/>
      <c r="FB58" s="307">
        <v>5.8870084159108789</v>
      </c>
      <c r="FC58" s="307"/>
      <c r="FD58" s="310"/>
      <c r="FE58" s="306">
        <v>3.5860017204517769</v>
      </c>
      <c r="FF58" s="306"/>
      <c r="FG58" s="308"/>
      <c r="FH58" s="313">
        <v>4.746770945683517</v>
      </c>
      <c r="FI58" s="304"/>
      <c r="FJ58" s="310"/>
      <c r="FK58" s="306">
        <v>4.6985745648204471</v>
      </c>
      <c r="FL58" s="306"/>
      <c r="FM58" s="311"/>
      <c r="FN58" s="307">
        <v>12.198261593079049</v>
      </c>
      <c r="FO58" s="307"/>
      <c r="FP58" s="310"/>
      <c r="FQ58" s="306">
        <v>5.7113157863871651</v>
      </c>
      <c r="FR58" s="306"/>
      <c r="FS58" s="311"/>
      <c r="FT58" s="307">
        <v>14.866578435208272</v>
      </c>
      <c r="FU58" s="307"/>
    </row>
    <row r="59" spans="1:177" s="284" customFormat="1" ht="13.9" customHeight="1" x14ac:dyDescent="0.2">
      <c r="G59" s="272"/>
      <c r="H59" s="322" t="s">
        <v>531</v>
      </c>
      <c r="I59" s="276"/>
      <c r="J59" s="303"/>
      <c r="K59" s="303"/>
      <c r="L59" s="303"/>
      <c r="M59" s="308"/>
      <c r="N59" s="304"/>
      <c r="O59" s="304"/>
      <c r="P59" s="303"/>
      <c r="Q59" s="303"/>
      <c r="R59" s="303"/>
      <c r="S59" s="308"/>
      <c r="T59" s="304"/>
      <c r="U59" s="304"/>
      <c r="V59" s="303"/>
      <c r="W59" s="303"/>
      <c r="X59" s="303"/>
      <c r="Y59" s="308"/>
      <c r="Z59" s="304"/>
      <c r="AA59" s="304"/>
      <c r="AB59" s="303"/>
      <c r="AC59" s="303"/>
      <c r="AD59" s="303"/>
      <c r="AE59" s="308"/>
      <c r="AF59" s="304"/>
      <c r="AG59" s="304"/>
      <c r="AH59" s="303"/>
      <c r="AI59" s="303"/>
      <c r="AJ59" s="303"/>
      <c r="AK59" s="308"/>
      <c r="AL59" s="304"/>
      <c r="AM59" s="304"/>
      <c r="AN59" s="303"/>
      <c r="AO59" s="303"/>
      <c r="AP59" s="303"/>
      <c r="AQ59" s="308"/>
      <c r="AR59" s="304"/>
      <c r="AS59" s="304"/>
      <c r="AT59" s="303"/>
      <c r="AU59" s="303"/>
      <c r="AV59" s="303"/>
      <c r="AW59" s="308"/>
      <c r="AX59" s="304"/>
      <c r="AY59" s="304"/>
      <c r="AZ59" s="303"/>
      <c r="BA59" s="303"/>
      <c r="BB59" s="303"/>
      <c r="BC59" s="308"/>
      <c r="BD59" s="304"/>
      <c r="BE59" s="304"/>
      <c r="BF59" s="303"/>
      <c r="BG59" s="303"/>
      <c r="BH59" s="303"/>
      <c r="BI59" s="308"/>
      <c r="BJ59" s="304"/>
      <c r="BK59" s="304"/>
      <c r="BL59" s="303"/>
      <c r="BM59" s="303"/>
      <c r="BN59" s="303"/>
      <c r="BO59" s="308"/>
      <c r="BP59" s="304"/>
      <c r="BQ59" s="304"/>
      <c r="BR59" s="305"/>
      <c r="BS59" s="305"/>
      <c r="BT59" s="305"/>
      <c r="BU59" s="308"/>
      <c r="BV59" s="304"/>
      <c r="BW59" s="304"/>
      <c r="BX59" s="303"/>
      <c r="BY59" s="303"/>
      <c r="BZ59" s="303"/>
      <c r="CA59" s="308"/>
      <c r="CB59" s="304"/>
      <c r="CC59" s="304"/>
      <c r="CD59" s="303"/>
      <c r="CE59" s="303"/>
      <c r="CF59" s="303"/>
      <c r="CG59" s="308"/>
      <c r="CH59" s="304"/>
      <c r="CI59" s="304"/>
      <c r="CJ59" s="309"/>
      <c r="CK59" s="303"/>
      <c r="CL59" s="303"/>
      <c r="CM59" s="308"/>
      <c r="CN59" s="304"/>
      <c r="CO59" s="304"/>
      <c r="CP59" s="309"/>
      <c r="CQ59" s="303"/>
      <c r="CR59" s="303"/>
      <c r="CS59" s="308"/>
      <c r="CT59" s="304"/>
      <c r="CU59" s="304"/>
      <c r="CV59" s="309"/>
      <c r="CW59" s="303"/>
      <c r="CX59" s="303"/>
      <c r="CY59" s="308"/>
      <c r="CZ59" s="304"/>
      <c r="DA59" s="304"/>
      <c r="DB59" s="309"/>
      <c r="DC59" s="303"/>
      <c r="DD59" s="303"/>
      <c r="DE59" s="308"/>
      <c r="DF59" s="304"/>
      <c r="DG59" s="304"/>
      <c r="DH59" s="309"/>
      <c r="DI59" s="303"/>
      <c r="DJ59" s="303"/>
      <c r="DK59" s="308"/>
      <c r="DL59" s="304"/>
      <c r="DM59" s="304"/>
      <c r="DN59" s="309"/>
      <c r="DO59" s="303"/>
      <c r="DP59" s="303"/>
      <c r="DQ59" s="308"/>
      <c r="DR59" s="304"/>
      <c r="DS59" s="304"/>
      <c r="DT59" s="309"/>
      <c r="DU59" s="303"/>
      <c r="DV59" s="303"/>
      <c r="DW59" s="308"/>
      <c r="DX59" s="304"/>
      <c r="DY59" s="304"/>
      <c r="DZ59" s="309"/>
      <c r="EA59" s="303">
        <v>0</v>
      </c>
      <c r="EB59" s="303"/>
      <c r="EC59" s="308"/>
      <c r="ED59" s="304">
        <v>6.125</v>
      </c>
      <c r="EE59" s="304"/>
      <c r="EF59" s="309"/>
      <c r="EG59" s="303">
        <v>0</v>
      </c>
      <c r="EH59" s="303"/>
      <c r="EI59" s="308"/>
      <c r="EJ59" s="304">
        <v>6.125</v>
      </c>
      <c r="EK59" s="304"/>
      <c r="EL59" s="309"/>
      <c r="EM59" s="303">
        <v>0</v>
      </c>
      <c r="EN59" s="303"/>
      <c r="EO59" s="308"/>
      <c r="EP59" s="304">
        <v>0</v>
      </c>
      <c r="EQ59" s="304"/>
      <c r="ER59" s="309"/>
      <c r="ES59" s="303">
        <v>0</v>
      </c>
      <c r="ET59" s="303"/>
      <c r="EU59" s="308"/>
      <c r="EV59" s="304">
        <v>0</v>
      </c>
      <c r="EW59" s="304"/>
      <c r="EX59" s="310"/>
      <c r="EY59" s="306">
        <v>0</v>
      </c>
      <c r="EZ59" s="306"/>
      <c r="FA59" s="311"/>
      <c r="FB59" s="307">
        <v>0</v>
      </c>
      <c r="FC59" s="307"/>
      <c r="FD59" s="310"/>
      <c r="FE59" s="306">
        <v>0</v>
      </c>
      <c r="FF59" s="306"/>
      <c r="FG59" s="308"/>
      <c r="FH59" s="304">
        <v>0</v>
      </c>
      <c r="FI59" s="304"/>
      <c r="FJ59" s="310"/>
      <c r="FK59" s="306">
        <v>0</v>
      </c>
      <c r="FL59" s="306"/>
      <c r="FM59" s="311"/>
      <c r="FN59" s="307">
        <v>0</v>
      </c>
      <c r="FO59" s="307"/>
      <c r="FP59" s="310"/>
      <c r="FQ59" s="306">
        <v>0</v>
      </c>
      <c r="FR59" s="306"/>
      <c r="FS59" s="311"/>
      <c r="FT59" s="307">
        <v>0</v>
      </c>
      <c r="FU59" s="307"/>
    </row>
    <row r="60" spans="1:177" s="284" customFormat="1" ht="13.9" customHeight="1" x14ac:dyDescent="0.2">
      <c r="G60" s="272"/>
      <c r="H60" s="322" t="s">
        <v>532</v>
      </c>
      <c r="I60" s="276"/>
      <c r="J60" s="303"/>
      <c r="K60" s="303"/>
      <c r="L60" s="303"/>
      <c r="M60" s="308"/>
      <c r="N60" s="304"/>
      <c r="O60" s="304"/>
      <c r="P60" s="303"/>
      <c r="Q60" s="303"/>
      <c r="R60" s="303"/>
      <c r="S60" s="308"/>
      <c r="T60" s="304"/>
      <c r="U60" s="304"/>
      <c r="V60" s="303"/>
      <c r="W60" s="303"/>
      <c r="X60" s="303"/>
      <c r="Y60" s="308"/>
      <c r="Z60" s="304"/>
      <c r="AA60" s="304"/>
      <c r="AB60" s="303"/>
      <c r="AC60" s="303"/>
      <c r="AD60" s="303"/>
      <c r="AE60" s="308"/>
      <c r="AF60" s="304"/>
      <c r="AG60" s="304"/>
      <c r="AH60" s="303"/>
      <c r="AI60" s="303"/>
      <c r="AJ60" s="303"/>
      <c r="AK60" s="308"/>
      <c r="AL60" s="304"/>
      <c r="AM60" s="304"/>
      <c r="AN60" s="303"/>
      <c r="AO60" s="303"/>
      <c r="AP60" s="303"/>
      <c r="AQ60" s="308"/>
      <c r="AR60" s="304"/>
      <c r="AS60" s="304"/>
      <c r="AT60" s="303"/>
      <c r="AU60" s="303"/>
      <c r="AV60" s="303"/>
      <c r="AW60" s="308"/>
      <c r="AX60" s="304"/>
      <c r="AY60" s="304"/>
      <c r="AZ60" s="303"/>
      <c r="BA60" s="303"/>
      <c r="BB60" s="303"/>
      <c r="BC60" s="308"/>
      <c r="BD60" s="304"/>
      <c r="BE60" s="304"/>
      <c r="BF60" s="303"/>
      <c r="BG60" s="303"/>
      <c r="BH60" s="303"/>
      <c r="BI60" s="308"/>
      <c r="BJ60" s="304"/>
      <c r="BK60" s="304"/>
      <c r="BL60" s="303"/>
      <c r="BM60" s="303"/>
      <c r="BN60" s="303"/>
      <c r="BO60" s="308"/>
      <c r="BP60" s="304"/>
      <c r="BQ60" s="304"/>
      <c r="BR60" s="305"/>
      <c r="BS60" s="305"/>
      <c r="BT60" s="305"/>
      <c r="BU60" s="308"/>
      <c r="BV60" s="304"/>
      <c r="BW60" s="304"/>
      <c r="BX60" s="303"/>
      <c r="BY60" s="303"/>
      <c r="BZ60" s="303"/>
      <c r="CA60" s="308"/>
      <c r="CB60" s="304"/>
      <c r="CC60" s="304"/>
      <c r="CD60" s="303"/>
      <c r="CE60" s="303"/>
      <c r="CF60" s="303"/>
      <c r="CG60" s="308"/>
      <c r="CH60" s="304"/>
      <c r="CI60" s="304"/>
      <c r="CJ60" s="309"/>
      <c r="CK60" s="303"/>
      <c r="CL60" s="303"/>
      <c r="CM60" s="308"/>
      <c r="CN60" s="304"/>
      <c r="CO60" s="304"/>
      <c r="CP60" s="309"/>
      <c r="CQ60" s="303"/>
      <c r="CR60" s="303"/>
      <c r="CS60" s="308"/>
      <c r="CT60" s="304"/>
      <c r="CU60" s="304"/>
      <c r="CV60" s="309"/>
      <c r="CW60" s="303"/>
      <c r="CX60" s="303"/>
      <c r="CY60" s="308"/>
      <c r="CZ60" s="304"/>
      <c r="DA60" s="304"/>
      <c r="DB60" s="309"/>
      <c r="DC60" s="303"/>
      <c r="DD60" s="303"/>
      <c r="DE60" s="308"/>
      <c r="DF60" s="304"/>
      <c r="DG60" s="304"/>
      <c r="DH60" s="309"/>
      <c r="DI60" s="303"/>
      <c r="DJ60" s="303"/>
      <c r="DK60" s="308"/>
      <c r="DL60" s="304"/>
      <c r="DM60" s="304"/>
      <c r="DN60" s="309"/>
      <c r="DO60" s="303"/>
      <c r="DP60" s="303"/>
      <c r="DQ60" s="308"/>
      <c r="DR60" s="304"/>
      <c r="DS60" s="304"/>
      <c r="DT60" s="309"/>
      <c r="DU60" s="303"/>
      <c r="DV60" s="303"/>
      <c r="DW60" s="308"/>
      <c r="DX60" s="304"/>
      <c r="DY60" s="304"/>
      <c r="DZ60" s="309"/>
      <c r="EA60" s="303">
        <v>0</v>
      </c>
      <c r="EB60" s="303"/>
      <c r="EC60" s="308"/>
      <c r="ED60" s="304">
        <v>0</v>
      </c>
      <c r="EE60" s="304"/>
      <c r="EF60" s="309"/>
      <c r="EG60" s="303">
        <v>0</v>
      </c>
      <c r="EH60" s="303"/>
      <c r="EI60" s="308"/>
      <c r="EJ60" s="304">
        <v>6.125</v>
      </c>
      <c r="EK60" s="304"/>
      <c r="EL60" s="309"/>
      <c r="EM60" s="303">
        <v>0</v>
      </c>
      <c r="EN60" s="303"/>
      <c r="EO60" s="308"/>
      <c r="EP60" s="304">
        <v>6.3393750000000004</v>
      </c>
      <c r="EQ60" s="304"/>
      <c r="ER60" s="309"/>
      <c r="ES60" s="303">
        <v>0</v>
      </c>
      <c r="ET60" s="303"/>
      <c r="EU60" s="308"/>
      <c r="EV60" s="304">
        <v>6.3468781249999999</v>
      </c>
      <c r="EW60" s="304"/>
      <c r="EX60" s="310"/>
      <c r="EY60" s="306">
        <v>0</v>
      </c>
      <c r="EZ60" s="306"/>
      <c r="FA60" s="311"/>
      <c r="FB60" s="307">
        <v>6.3471407343750004</v>
      </c>
      <c r="FC60" s="307"/>
      <c r="FD60" s="310"/>
      <c r="FE60" s="306">
        <v>0</v>
      </c>
      <c r="FF60" s="306"/>
      <c r="FG60" s="308"/>
      <c r="FH60" s="304">
        <v>6.3471499257031248</v>
      </c>
      <c r="FI60" s="304"/>
      <c r="FJ60" s="310"/>
      <c r="FK60" s="306">
        <v>0</v>
      </c>
      <c r="FL60" s="306"/>
      <c r="FM60" s="311"/>
      <c r="FN60" s="307">
        <v>6.125</v>
      </c>
      <c r="FO60" s="307"/>
      <c r="FP60" s="310"/>
      <c r="FQ60" s="306">
        <v>0</v>
      </c>
      <c r="FR60" s="306"/>
      <c r="FS60" s="311"/>
      <c r="FT60" s="307">
        <v>6.125</v>
      </c>
      <c r="FU60" s="307"/>
    </row>
    <row r="61" spans="1:177" s="284" customFormat="1" ht="13.9" customHeight="1" x14ac:dyDescent="0.2">
      <c r="G61" s="272" t="s">
        <v>533</v>
      </c>
      <c r="H61" s="276"/>
      <c r="I61" s="276"/>
      <c r="J61" s="303">
        <v>5.3664485488355416</v>
      </c>
      <c r="K61" s="303">
        <v>146.30257663283055</v>
      </c>
      <c r="L61" s="303">
        <v>-140.93612808399502</v>
      </c>
      <c r="M61" s="304">
        <v>5.4400242938542718</v>
      </c>
      <c r="N61" s="304">
        <v>99.123726114848026</v>
      </c>
      <c r="O61" s="304">
        <v>-93.683701820993747</v>
      </c>
      <c r="P61" s="303">
        <v>5.6755282876084063</v>
      </c>
      <c r="Q61" s="303">
        <v>136.44775189325702</v>
      </c>
      <c r="R61" s="303">
        <v>-130.77222360564861</v>
      </c>
      <c r="S61" s="304">
        <v>6.3130952621030074</v>
      </c>
      <c r="T61" s="304">
        <v>90.93082838188154</v>
      </c>
      <c r="U61" s="304">
        <v>-84.617733119778535</v>
      </c>
      <c r="V61" s="303">
        <v>5.6458508874597095</v>
      </c>
      <c r="W61" s="303">
        <v>153.64852526413063</v>
      </c>
      <c r="X61" s="303">
        <v>-148.00267437667091</v>
      </c>
      <c r="Y61" s="304">
        <v>5.4705966523007792</v>
      </c>
      <c r="Z61" s="304">
        <v>72.548932902883706</v>
      </c>
      <c r="AA61" s="304">
        <v>-67.078336250582922</v>
      </c>
      <c r="AB61" s="303">
        <v>4.1790879600759103</v>
      </c>
      <c r="AC61" s="303">
        <v>135.06122958400309</v>
      </c>
      <c r="AD61" s="303">
        <v>-130.88214162392717</v>
      </c>
      <c r="AE61" s="304">
        <v>4.5898946041272799</v>
      </c>
      <c r="AF61" s="304">
        <v>74.286465241090099</v>
      </c>
      <c r="AG61" s="304">
        <v>-69.696570636962818</v>
      </c>
      <c r="AH61" s="303">
        <v>4.0162447847396923</v>
      </c>
      <c r="AI61" s="303">
        <v>129.17914310217165</v>
      </c>
      <c r="AJ61" s="303">
        <v>-125.16289831743195</v>
      </c>
      <c r="AK61" s="304">
        <v>4.7045806922808975</v>
      </c>
      <c r="AL61" s="304">
        <v>68.147297468650734</v>
      </c>
      <c r="AM61" s="304">
        <v>-63.442716776369835</v>
      </c>
      <c r="AN61" s="303">
        <v>4.898320835068839</v>
      </c>
      <c r="AO61" s="303">
        <v>134.46916879271177</v>
      </c>
      <c r="AP61" s="303">
        <v>-129.57084795764294</v>
      </c>
      <c r="AQ61" s="304">
        <v>4.6944025551173096</v>
      </c>
      <c r="AR61" s="304">
        <v>65.712270325248468</v>
      </c>
      <c r="AS61" s="304">
        <v>-61.017867770131161</v>
      </c>
      <c r="AT61" s="303">
        <v>5.6702405255463173</v>
      </c>
      <c r="AU61" s="303">
        <v>143.92026522791417</v>
      </c>
      <c r="AV61" s="303">
        <v>-138.25002470236785</v>
      </c>
      <c r="AW61" s="304">
        <v>6.160414574909252</v>
      </c>
      <c r="AX61" s="304">
        <v>69.457209129256711</v>
      </c>
      <c r="AY61" s="304">
        <v>-63.296794554347457</v>
      </c>
      <c r="AZ61" s="303">
        <v>6.3046244372532998</v>
      </c>
      <c r="BA61" s="303">
        <v>136.8315215892664</v>
      </c>
      <c r="BB61" s="303">
        <v>-130.52689715201311</v>
      </c>
      <c r="BC61" s="304">
        <v>7.0557214354013347</v>
      </c>
      <c r="BD61" s="304">
        <v>76.27003662020222</v>
      </c>
      <c r="BE61" s="304">
        <v>-69.214315184800881</v>
      </c>
      <c r="BF61" s="303">
        <v>7.8676229383424303</v>
      </c>
      <c r="BG61" s="303">
        <v>138.20840698031193</v>
      </c>
      <c r="BH61" s="303">
        <v>-130.3407840419695</v>
      </c>
      <c r="BI61" s="304">
        <v>9.9686709728973621</v>
      </c>
      <c r="BJ61" s="304">
        <v>76.599451318175582</v>
      </c>
      <c r="BK61" s="304">
        <v>-66.630780345278225</v>
      </c>
      <c r="BL61" s="303">
        <v>13.160338412636001</v>
      </c>
      <c r="BM61" s="303">
        <v>155.82610569483816</v>
      </c>
      <c r="BN61" s="303">
        <v>-142.66576728220215</v>
      </c>
      <c r="BO61" s="304">
        <v>13.659658213692051</v>
      </c>
      <c r="BP61" s="304">
        <v>91.5713738812141</v>
      </c>
      <c r="BQ61" s="304">
        <v>-77.911715667522046</v>
      </c>
      <c r="BR61" s="305">
        <v>12.741965284472098</v>
      </c>
      <c r="BS61" s="305">
        <v>154.71550485155765</v>
      </c>
      <c r="BT61" s="305">
        <v>-141.97353956708557</v>
      </c>
      <c r="BU61" s="304">
        <v>13.473778032804473</v>
      </c>
      <c r="BV61" s="304">
        <v>93.732046919461894</v>
      </c>
      <c r="BW61" s="304">
        <v>-80.258268886657419</v>
      </c>
      <c r="BX61" s="303">
        <v>13.648213830068386</v>
      </c>
      <c r="BY61" s="303">
        <v>160.20588410085304</v>
      </c>
      <c r="BZ61" s="303">
        <v>-146.55767027078466</v>
      </c>
      <c r="CA61" s="304">
        <v>15.450210703760263</v>
      </c>
      <c r="CB61" s="304">
        <v>117.53951432160343</v>
      </c>
      <c r="CC61" s="304">
        <v>-102.08930361784317</v>
      </c>
      <c r="CD61" s="303">
        <v>23.470552106960945</v>
      </c>
      <c r="CE61" s="303">
        <v>206.50933749263839</v>
      </c>
      <c r="CF61" s="303">
        <v>-183.03878538567744</v>
      </c>
      <c r="CG61" s="304">
        <v>19.57819838547973</v>
      </c>
      <c r="CH61" s="304">
        <v>130.39637756584025</v>
      </c>
      <c r="CI61" s="304">
        <v>-110.81817918036052</v>
      </c>
      <c r="CJ61" s="303">
        <v>20.682798444168508</v>
      </c>
      <c r="CK61" s="303">
        <v>219.73501787620859</v>
      </c>
      <c r="CL61" s="303">
        <v>-199.05221943204009</v>
      </c>
      <c r="CM61" s="304">
        <v>24.706151109801176</v>
      </c>
      <c r="CN61" s="304">
        <v>154.47571079010686</v>
      </c>
      <c r="CO61" s="304">
        <v>-129.76955968030569</v>
      </c>
      <c r="CP61" s="303">
        <v>31.514846688584466</v>
      </c>
      <c r="CQ61" s="303">
        <v>207.61581991492423</v>
      </c>
      <c r="CR61" s="303">
        <v>-176.10097322633976</v>
      </c>
      <c r="CS61" s="304">
        <v>24.619531096835736</v>
      </c>
      <c r="CT61" s="304">
        <v>165.58851335952508</v>
      </c>
      <c r="CU61" s="304">
        <v>-140.96898226268934</v>
      </c>
      <c r="CV61" s="303">
        <v>20.942173481263808</v>
      </c>
      <c r="CW61" s="303">
        <v>146.77260104740108</v>
      </c>
      <c r="CX61" s="303">
        <v>-125.83042756613727</v>
      </c>
      <c r="CY61" s="304">
        <v>19.741291333318642</v>
      </c>
      <c r="CZ61" s="304">
        <v>164.96190912757368</v>
      </c>
      <c r="DA61" s="304">
        <v>-145.22061779425502</v>
      </c>
      <c r="DB61" s="303">
        <v>25.637662442091457</v>
      </c>
      <c r="DC61" s="303">
        <v>224.57488564552264</v>
      </c>
      <c r="DD61" s="303">
        <v>-198.93722320343119</v>
      </c>
      <c r="DE61" s="304">
        <v>12.651061751300931</v>
      </c>
      <c r="DF61" s="304">
        <v>152.08709006233229</v>
      </c>
      <c r="DG61" s="304">
        <v>-139.43602831103135</v>
      </c>
      <c r="DH61" s="303">
        <v>9.3545856721150216</v>
      </c>
      <c r="DI61" s="303">
        <v>192.18544321718676</v>
      </c>
      <c r="DJ61" s="303">
        <v>-182.83085754507175</v>
      </c>
      <c r="DK61" s="304">
        <v>8.5439604798316715</v>
      </c>
      <c r="DL61" s="304">
        <v>124.09131961427732</v>
      </c>
      <c r="DM61" s="304">
        <v>-115.54735913444566</v>
      </c>
      <c r="DN61" s="303">
        <v>15.045449683576798</v>
      </c>
      <c r="DO61" s="303">
        <v>166.55849098889792</v>
      </c>
      <c r="DP61" s="303">
        <v>-151.51304130532111</v>
      </c>
      <c r="DQ61" s="304">
        <v>7.8770708778473333</v>
      </c>
      <c r="DR61" s="304">
        <v>127.43803758627723</v>
      </c>
      <c r="DS61" s="304">
        <v>-119.5609667084299</v>
      </c>
      <c r="DT61" s="303">
        <v>9.7698943111141769</v>
      </c>
      <c r="DU61" s="303">
        <v>173.10950690693667</v>
      </c>
      <c r="DV61" s="303">
        <v>-163.3396125958225</v>
      </c>
      <c r="DW61" s="304">
        <v>10.010919916493368</v>
      </c>
      <c r="DX61" s="304">
        <v>137.61578972676395</v>
      </c>
      <c r="DY61" s="304">
        <v>-127.60486981027059</v>
      </c>
      <c r="DZ61" s="303">
        <v>26.310320846619355</v>
      </c>
      <c r="EA61" s="303">
        <v>185.99663916756359</v>
      </c>
      <c r="EB61" s="303">
        <v>-159.68631832094422</v>
      </c>
      <c r="EC61" s="304">
        <v>41.026201746922659</v>
      </c>
      <c r="ED61" s="304">
        <v>141.52124204788655</v>
      </c>
      <c r="EE61" s="304">
        <v>-100.49504030096389</v>
      </c>
      <c r="EF61" s="303">
        <v>60.625014086338155</v>
      </c>
      <c r="EG61" s="303">
        <v>205.78093414150959</v>
      </c>
      <c r="EH61" s="303">
        <v>-145.15592005517144</v>
      </c>
      <c r="EI61" s="304">
        <v>89.103361879584114</v>
      </c>
      <c r="EJ61" s="304">
        <v>207.21400299740546</v>
      </c>
      <c r="EK61" s="304">
        <v>-118.11064111782134</v>
      </c>
      <c r="EL61" s="303">
        <v>75.36294450685034</v>
      </c>
      <c r="EM61" s="303">
        <v>269.65404669276626</v>
      </c>
      <c r="EN61" s="303">
        <v>-194.29110218591592</v>
      </c>
      <c r="EO61" s="304">
        <v>80.724213452026731</v>
      </c>
      <c r="EP61" s="304">
        <v>224.81081874801623</v>
      </c>
      <c r="EQ61" s="304">
        <v>-144.0866052959895</v>
      </c>
      <c r="ER61" s="303">
        <v>95.116115165249738</v>
      </c>
      <c r="ES61" s="303">
        <v>480.0716421920477</v>
      </c>
      <c r="ET61" s="303">
        <v>-384.95552702679799</v>
      </c>
      <c r="EU61" s="304">
        <v>97.401754522555791</v>
      </c>
      <c r="EV61" s="304">
        <v>232.21291637118475</v>
      </c>
      <c r="EW61" s="304">
        <v>-134.81116184862896</v>
      </c>
      <c r="EX61" s="306">
        <v>67.254011897969932</v>
      </c>
      <c r="EY61" s="306">
        <v>414.3961801373336</v>
      </c>
      <c r="EZ61" s="306">
        <v>-347.14216823936368</v>
      </c>
      <c r="FA61" s="307">
        <v>66.077042686179567</v>
      </c>
      <c r="FB61" s="307">
        <v>291.81734112813791</v>
      </c>
      <c r="FC61" s="307">
        <v>-225.74029844195834</v>
      </c>
      <c r="FD61" s="306">
        <v>70.343216193219945</v>
      </c>
      <c r="FE61" s="306">
        <v>321.25536181025581</v>
      </c>
      <c r="FF61" s="306">
        <v>-250.91214561703586</v>
      </c>
      <c r="FG61" s="304">
        <v>67.450669548457</v>
      </c>
      <c r="FH61" s="304">
        <v>341.54858810305421</v>
      </c>
      <c r="FI61" s="304">
        <v>-274.09791855459719</v>
      </c>
      <c r="FJ61" s="306">
        <v>32.828459181816022</v>
      </c>
      <c r="FK61" s="306">
        <v>254.01030380760557</v>
      </c>
      <c r="FL61" s="306">
        <v>-221.18184462578955</v>
      </c>
      <c r="FM61" s="307">
        <v>32.339381419943798</v>
      </c>
      <c r="FN61" s="307">
        <v>266.58926964110759</v>
      </c>
      <c r="FO61" s="307">
        <v>-234.24988822116379</v>
      </c>
      <c r="FP61" s="306">
        <v>30.67791382699032</v>
      </c>
      <c r="FQ61" s="306">
        <v>269.46980721483578</v>
      </c>
      <c r="FR61" s="306">
        <v>-238.79189338784545</v>
      </c>
      <c r="FS61" s="307">
        <v>28.726425835360494</v>
      </c>
      <c r="FT61" s="307">
        <v>211.59814481781851</v>
      </c>
      <c r="FU61" s="307">
        <v>-182.87171898245802</v>
      </c>
    </row>
    <row r="62" spans="1:177" s="284" customFormat="1" ht="13.9" customHeight="1" x14ac:dyDescent="0.2">
      <c r="G62" s="272"/>
      <c r="H62" s="272" t="s">
        <v>534</v>
      </c>
      <c r="I62" s="276"/>
      <c r="J62" s="303"/>
      <c r="K62" s="303"/>
      <c r="L62" s="303"/>
      <c r="M62" s="304"/>
      <c r="N62" s="304"/>
      <c r="O62" s="304"/>
      <c r="P62" s="303"/>
      <c r="Q62" s="303"/>
      <c r="R62" s="303"/>
      <c r="S62" s="304"/>
      <c r="T62" s="304"/>
      <c r="U62" s="304"/>
      <c r="V62" s="303"/>
      <c r="W62" s="303"/>
      <c r="X62" s="303"/>
      <c r="Y62" s="304"/>
      <c r="Z62" s="304"/>
      <c r="AA62" s="304"/>
      <c r="AB62" s="303"/>
      <c r="AC62" s="303"/>
      <c r="AD62" s="303"/>
      <c r="AE62" s="304"/>
      <c r="AF62" s="304"/>
      <c r="AG62" s="304"/>
      <c r="AH62" s="303"/>
      <c r="AI62" s="303"/>
      <c r="AJ62" s="303"/>
      <c r="AK62" s="304"/>
      <c r="AL62" s="304"/>
      <c r="AM62" s="304"/>
      <c r="AN62" s="303"/>
      <c r="AO62" s="303"/>
      <c r="AP62" s="303"/>
      <c r="AQ62" s="304"/>
      <c r="AR62" s="304"/>
      <c r="AS62" s="304"/>
      <c r="AT62" s="303"/>
      <c r="AU62" s="303"/>
      <c r="AV62" s="303"/>
      <c r="AW62" s="304"/>
      <c r="AX62" s="304"/>
      <c r="AY62" s="304"/>
      <c r="AZ62" s="303"/>
      <c r="BA62" s="303"/>
      <c r="BB62" s="303"/>
      <c r="BC62" s="304"/>
      <c r="BD62" s="304"/>
      <c r="BE62" s="304"/>
      <c r="BF62" s="303"/>
      <c r="BG62" s="303"/>
      <c r="BH62" s="303"/>
      <c r="BI62" s="304"/>
      <c r="BJ62" s="304"/>
      <c r="BK62" s="304"/>
      <c r="BL62" s="303"/>
      <c r="BM62" s="303"/>
      <c r="BN62" s="303"/>
      <c r="BO62" s="304"/>
      <c r="BP62" s="304"/>
      <c r="BQ62" s="304"/>
      <c r="BR62" s="305"/>
      <c r="BS62" s="305"/>
      <c r="BT62" s="305"/>
      <c r="BU62" s="304"/>
      <c r="BV62" s="304"/>
      <c r="BW62" s="304"/>
      <c r="BX62" s="303"/>
      <c r="BY62" s="303"/>
      <c r="BZ62" s="303"/>
      <c r="CA62" s="304"/>
      <c r="CB62" s="304"/>
      <c r="CC62" s="304"/>
      <c r="CD62" s="303"/>
      <c r="CE62" s="303"/>
      <c r="CF62" s="303"/>
      <c r="CG62" s="304"/>
      <c r="CH62" s="304"/>
      <c r="CI62" s="304"/>
      <c r="CJ62" s="303"/>
      <c r="CK62" s="303"/>
      <c r="CL62" s="303"/>
      <c r="CM62" s="304"/>
      <c r="CN62" s="304"/>
      <c r="CO62" s="304"/>
      <c r="CP62" s="303"/>
      <c r="CQ62" s="303"/>
      <c r="CR62" s="303"/>
      <c r="CS62" s="304"/>
      <c r="CT62" s="304"/>
      <c r="CU62" s="304"/>
      <c r="CV62" s="303"/>
      <c r="CW62" s="303"/>
      <c r="CX62" s="303"/>
      <c r="CY62" s="304"/>
      <c r="CZ62" s="304"/>
      <c r="DA62" s="304"/>
      <c r="DB62" s="303"/>
      <c r="DC62" s="303"/>
      <c r="DD62" s="303"/>
      <c r="DE62" s="304"/>
      <c r="DF62" s="304"/>
      <c r="DG62" s="304"/>
      <c r="DH62" s="303"/>
      <c r="DI62" s="303"/>
      <c r="DJ62" s="303"/>
      <c r="DK62" s="304"/>
      <c r="DL62" s="304"/>
      <c r="DM62" s="304"/>
      <c r="DN62" s="303"/>
      <c r="DO62" s="303"/>
      <c r="DP62" s="303"/>
      <c r="DQ62" s="304"/>
      <c r="DR62" s="304"/>
      <c r="DS62" s="304"/>
      <c r="DT62" s="303"/>
      <c r="DU62" s="303"/>
      <c r="DV62" s="303"/>
      <c r="DW62" s="304"/>
      <c r="DX62" s="304"/>
      <c r="DY62" s="304"/>
      <c r="DZ62" s="303"/>
      <c r="EA62" s="303">
        <v>118.50225351200062</v>
      </c>
      <c r="EB62" s="303"/>
      <c r="EC62" s="304"/>
      <c r="ED62" s="304">
        <v>48.737968379813054</v>
      </c>
      <c r="EE62" s="304"/>
      <c r="EF62" s="303"/>
      <c r="EG62" s="303">
        <v>45.254287101675011</v>
      </c>
      <c r="EH62" s="303"/>
      <c r="EI62" s="304"/>
      <c r="EJ62" s="304">
        <v>60.201810074730645</v>
      </c>
      <c r="EK62" s="304"/>
      <c r="EL62" s="303"/>
      <c r="EM62" s="303">
        <v>76.1210305633155</v>
      </c>
      <c r="EN62" s="303"/>
      <c r="EO62" s="304"/>
      <c r="EP62" s="304">
        <v>93.443500468168764</v>
      </c>
      <c r="EQ62" s="304"/>
      <c r="ER62" s="303"/>
      <c r="ES62" s="303">
        <v>92.372591544799818</v>
      </c>
      <c r="ET62" s="303"/>
      <c r="EU62" s="304"/>
      <c r="EV62" s="304">
        <v>114.67586981044863</v>
      </c>
      <c r="EW62" s="304"/>
      <c r="EX62" s="306"/>
      <c r="EY62" s="306">
        <v>92.1917096761171</v>
      </c>
      <c r="EZ62" s="306"/>
      <c r="FA62" s="307"/>
      <c r="FB62" s="307">
        <v>119.35315746331305</v>
      </c>
      <c r="FC62" s="307"/>
      <c r="FD62" s="306"/>
      <c r="FE62" s="306">
        <v>134.22644723002213</v>
      </c>
      <c r="FF62" s="306"/>
      <c r="FG62" s="304"/>
      <c r="FH62" s="304">
        <v>185.84361332995141</v>
      </c>
      <c r="FI62" s="304"/>
      <c r="FJ62" s="306"/>
      <c r="FK62" s="306">
        <v>149.67789538847765</v>
      </c>
      <c r="FL62" s="306"/>
      <c r="FM62" s="307"/>
      <c r="FN62" s="307">
        <v>154.75103562036281</v>
      </c>
      <c r="FO62" s="307"/>
      <c r="FP62" s="306"/>
      <c r="FQ62" s="306">
        <v>214.23301773611348</v>
      </c>
      <c r="FR62" s="306"/>
      <c r="FS62" s="307"/>
      <c r="FT62" s="307">
        <v>158.19867518208838</v>
      </c>
      <c r="FU62" s="307"/>
    </row>
    <row r="63" spans="1:177" s="284" customFormat="1" ht="13.9" customHeight="1" x14ac:dyDescent="0.2">
      <c r="G63" s="272"/>
      <c r="H63" s="272" t="s">
        <v>535</v>
      </c>
      <c r="I63" s="276"/>
      <c r="J63" s="303"/>
      <c r="K63" s="303"/>
      <c r="L63" s="303"/>
      <c r="M63" s="304"/>
      <c r="N63" s="304"/>
      <c r="O63" s="304"/>
      <c r="P63" s="303"/>
      <c r="Q63" s="303"/>
      <c r="R63" s="303"/>
      <c r="S63" s="304"/>
      <c r="T63" s="304"/>
      <c r="U63" s="304"/>
      <c r="V63" s="303"/>
      <c r="W63" s="303"/>
      <c r="X63" s="303"/>
      <c r="Y63" s="304"/>
      <c r="Z63" s="304"/>
      <c r="AA63" s="304"/>
      <c r="AB63" s="303"/>
      <c r="AC63" s="303"/>
      <c r="AD63" s="303"/>
      <c r="AE63" s="304"/>
      <c r="AF63" s="304"/>
      <c r="AG63" s="304"/>
      <c r="AH63" s="303"/>
      <c r="AI63" s="303"/>
      <c r="AJ63" s="303"/>
      <c r="AK63" s="304"/>
      <c r="AL63" s="304"/>
      <c r="AM63" s="304"/>
      <c r="AN63" s="303"/>
      <c r="AO63" s="303"/>
      <c r="AP63" s="303"/>
      <c r="AQ63" s="304"/>
      <c r="AR63" s="304"/>
      <c r="AS63" s="304"/>
      <c r="AT63" s="303"/>
      <c r="AU63" s="303"/>
      <c r="AV63" s="303"/>
      <c r="AW63" s="304"/>
      <c r="AX63" s="304"/>
      <c r="AY63" s="304"/>
      <c r="AZ63" s="303"/>
      <c r="BA63" s="303"/>
      <c r="BB63" s="303"/>
      <c r="BC63" s="304"/>
      <c r="BD63" s="304"/>
      <c r="BE63" s="304"/>
      <c r="BF63" s="303"/>
      <c r="BG63" s="303"/>
      <c r="BH63" s="303"/>
      <c r="BI63" s="304"/>
      <c r="BJ63" s="304"/>
      <c r="BK63" s="304"/>
      <c r="BL63" s="303"/>
      <c r="BM63" s="303"/>
      <c r="BN63" s="303"/>
      <c r="BO63" s="304"/>
      <c r="BP63" s="304"/>
      <c r="BQ63" s="304"/>
      <c r="BR63" s="305"/>
      <c r="BS63" s="305"/>
      <c r="BT63" s="305"/>
      <c r="BU63" s="304"/>
      <c r="BV63" s="304"/>
      <c r="BW63" s="304"/>
      <c r="BX63" s="303"/>
      <c r="BY63" s="303"/>
      <c r="BZ63" s="303"/>
      <c r="CA63" s="304"/>
      <c r="CB63" s="304"/>
      <c r="CC63" s="304"/>
      <c r="CD63" s="303"/>
      <c r="CE63" s="303"/>
      <c r="CF63" s="303"/>
      <c r="CG63" s="304"/>
      <c r="CH63" s="304"/>
      <c r="CI63" s="304"/>
      <c r="CJ63" s="303"/>
      <c r="CK63" s="303"/>
      <c r="CL63" s="303"/>
      <c r="CM63" s="304"/>
      <c r="CN63" s="304"/>
      <c r="CO63" s="304"/>
      <c r="CP63" s="303"/>
      <c r="CQ63" s="303"/>
      <c r="CR63" s="303"/>
      <c r="CS63" s="304"/>
      <c r="CT63" s="304"/>
      <c r="CU63" s="304"/>
      <c r="CV63" s="303"/>
      <c r="CW63" s="303"/>
      <c r="CX63" s="303"/>
      <c r="CY63" s="304"/>
      <c r="CZ63" s="304"/>
      <c r="DA63" s="304"/>
      <c r="DB63" s="303"/>
      <c r="DC63" s="303"/>
      <c r="DD63" s="303"/>
      <c r="DE63" s="304"/>
      <c r="DF63" s="304"/>
      <c r="DG63" s="304"/>
      <c r="DH63" s="303"/>
      <c r="DI63" s="303"/>
      <c r="DJ63" s="303"/>
      <c r="DK63" s="304"/>
      <c r="DL63" s="304"/>
      <c r="DM63" s="304"/>
      <c r="DN63" s="303"/>
      <c r="DO63" s="303"/>
      <c r="DP63" s="303"/>
      <c r="DQ63" s="304"/>
      <c r="DR63" s="304"/>
      <c r="DS63" s="304"/>
      <c r="DT63" s="303"/>
      <c r="DU63" s="303"/>
      <c r="DV63" s="303"/>
      <c r="DW63" s="304"/>
      <c r="DX63" s="304"/>
      <c r="DY63" s="304"/>
      <c r="DZ63" s="303"/>
      <c r="EA63" s="303">
        <v>0</v>
      </c>
      <c r="EB63" s="303"/>
      <c r="EC63" s="304"/>
      <c r="ED63" s="304">
        <v>11.243746237665365</v>
      </c>
      <c r="EE63" s="304"/>
      <c r="EF63" s="303"/>
      <c r="EG63" s="303">
        <v>85.085488847935153</v>
      </c>
      <c r="EH63" s="303"/>
      <c r="EI63" s="304"/>
      <c r="EJ63" s="304">
        <v>36.782569321126772</v>
      </c>
      <c r="EK63" s="304"/>
      <c r="EL63" s="303"/>
      <c r="EM63" s="303">
        <v>129.22808352194426</v>
      </c>
      <c r="EN63" s="303"/>
      <c r="EO63" s="304"/>
      <c r="EP63" s="304">
        <v>56.583462647464984</v>
      </c>
      <c r="EQ63" s="304"/>
      <c r="ER63" s="303"/>
      <c r="ES63" s="303">
        <v>133.95830945558703</v>
      </c>
      <c r="ET63" s="303"/>
      <c r="EU63" s="304"/>
      <c r="EV63" s="304">
        <v>64.106591178435863</v>
      </c>
      <c r="EW63" s="304"/>
      <c r="EX63" s="306"/>
      <c r="EY63" s="306">
        <v>216.64089203921111</v>
      </c>
      <c r="EZ63" s="306"/>
      <c r="FA63" s="307"/>
      <c r="FB63" s="307">
        <v>75.658461480314614</v>
      </c>
      <c r="FC63" s="307"/>
      <c r="FD63" s="306"/>
      <c r="FE63" s="306">
        <v>91.352506247923259</v>
      </c>
      <c r="FF63" s="306"/>
      <c r="FG63" s="304"/>
      <c r="FH63" s="304">
        <v>71.064152987124331</v>
      </c>
      <c r="FI63" s="304"/>
      <c r="FJ63" s="306"/>
      <c r="FK63" s="306">
        <v>0</v>
      </c>
      <c r="FL63" s="306"/>
      <c r="FM63" s="307"/>
      <c r="FN63" s="307">
        <v>0</v>
      </c>
      <c r="FO63" s="307"/>
      <c r="FP63" s="306"/>
      <c r="FQ63" s="306">
        <v>0</v>
      </c>
      <c r="FR63" s="306"/>
      <c r="FS63" s="307"/>
      <c r="FT63" s="307">
        <v>0</v>
      </c>
      <c r="FU63" s="307"/>
    </row>
    <row r="64" spans="1:177" s="284" customFormat="1" ht="13.9" customHeight="1" x14ac:dyDescent="0.2">
      <c r="G64" s="272"/>
      <c r="H64" s="272" t="s">
        <v>536</v>
      </c>
      <c r="I64" s="276"/>
      <c r="J64" s="303"/>
      <c r="K64" s="303"/>
      <c r="L64" s="303"/>
      <c r="M64" s="304"/>
      <c r="N64" s="304"/>
      <c r="O64" s="304"/>
      <c r="P64" s="303"/>
      <c r="Q64" s="303"/>
      <c r="R64" s="303"/>
      <c r="S64" s="304"/>
      <c r="T64" s="304"/>
      <c r="U64" s="304"/>
      <c r="V64" s="303"/>
      <c r="W64" s="303"/>
      <c r="X64" s="303"/>
      <c r="Y64" s="304"/>
      <c r="Z64" s="304"/>
      <c r="AA64" s="304"/>
      <c r="AB64" s="303"/>
      <c r="AC64" s="303"/>
      <c r="AD64" s="303"/>
      <c r="AE64" s="304"/>
      <c r="AF64" s="304"/>
      <c r="AG64" s="304"/>
      <c r="AH64" s="303"/>
      <c r="AI64" s="303"/>
      <c r="AJ64" s="303"/>
      <c r="AK64" s="304"/>
      <c r="AL64" s="304"/>
      <c r="AM64" s="304"/>
      <c r="AN64" s="303"/>
      <c r="AO64" s="303"/>
      <c r="AP64" s="303"/>
      <c r="AQ64" s="304"/>
      <c r="AR64" s="304"/>
      <c r="AS64" s="304"/>
      <c r="AT64" s="303"/>
      <c r="AU64" s="303"/>
      <c r="AV64" s="303"/>
      <c r="AW64" s="304"/>
      <c r="AX64" s="304"/>
      <c r="AY64" s="304"/>
      <c r="AZ64" s="303"/>
      <c r="BA64" s="303"/>
      <c r="BB64" s="303"/>
      <c r="BC64" s="304"/>
      <c r="BD64" s="304"/>
      <c r="BE64" s="304"/>
      <c r="BF64" s="303"/>
      <c r="BG64" s="303"/>
      <c r="BH64" s="303"/>
      <c r="BI64" s="304"/>
      <c r="BJ64" s="304"/>
      <c r="BK64" s="304"/>
      <c r="BL64" s="303"/>
      <c r="BM64" s="303"/>
      <c r="BN64" s="303"/>
      <c r="BO64" s="304"/>
      <c r="BP64" s="304"/>
      <c r="BQ64" s="304"/>
      <c r="BR64" s="305"/>
      <c r="BS64" s="305"/>
      <c r="BT64" s="305"/>
      <c r="BU64" s="304"/>
      <c r="BV64" s="304"/>
      <c r="BW64" s="304"/>
      <c r="BX64" s="303"/>
      <c r="BY64" s="303"/>
      <c r="BZ64" s="303"/>
      <c r="CA64" s="304"/>
      <c r="CB64" s="304"/>
      <c r="CC64" s="304"/>
      <c r="CD64" s="303"/>
      <c r="CE64" s="303"/>
      <c r="CF64" s="303"/>
      <c r="CG64" s="304"/>
      <c r="CH64" s="304"/>
      <c r="CI64" s="304"/>
      <c r="CJ64" s="303"/>
      <c r="CK64" s="303"/>
      <c r="CL64" s="303"/>
      <c r="CM64" s="304"/>
      <c r="CN64" s="304"/>
      <c r="CO64" s="304"/>
      <c r="CP64" s="303"/>
      <c r="CQ64" s="303"/>
      <c r="CR64" s="303"/>
      <c r="CS64" s="304"/>
      <c r="CT64" s="304"/>
      <c r="CU64" s="304"/>
      <c r="CV64" s="303"/>
      <c r="CW64" s="303"/>
      <c r="CX64" s="303"/>
      <c r="CY64" s="304"/>
      <c r="CZ64" s="304"/>
      <c r="DA64" s="304"/>
      <c r="DB64" s="303"/>
      <c r="DC64" s="303"/>
      <c r="DD64" s="303"/>
      <c r="DE64" s="304"/>
      <c r="DF64" s="304"/>
      <c r="DG64" s="304"/>
      <c r="DH64" s="303"/>
      <c r="DI64" s="303"/>
      <c r="DJ64" s="303"/>
      <c r="DK64" s="304"/>
      <c r="DL64" s="304"/>
      <c r="DM64" s="304"/>
      <c r="DN64" s="303"/>
      <c r="DO64" s="303"/>
      <c r="DP64" s="303"/>
      <c r="DQ64" s="304"/>
      <c r="DR64" s="304"/>
      <c r="DS64" s="304"/>
      <c r="DT64" s="303"/>
      <c r="DU64" s="303"/>
      <c r="DV64" s="303"/>
      <c r="DW64" s="304"/>
      <c r="DX64" s="304"/>
      <c r="DY64" s="304"/>
      <c r="DZ64" s="303"/>
      <c r="EA64" s="303">
        <v>3.580338008135775</v>
      </c>
      <c r="EB64" s="303"/>
      <c r="EC64" s="304"/>
      <c r="ED64" s="304">
        <v>7.6505406456521614</v>
      </c>
      <c r="EE64" s="304"/>
      <c r="EF64" s="303"/>
      <c r="EG64" s="303">
        <v>7.7491366921996265</v>
      </c>
      <c r="EH64" s="303"/>
      <c r="EI64" s="304"/>
      <c r="EJ64" s="304">
        <v>37.589774195470781</v>
      </c>
      <c r="EK64" s="304"/>
      <c r="EL64" s="303"/>
      <c r="EM64" s="303">
        <v>31.938091995899036</v>
      </c>
      <c r="EN64" s="303"/>
      <c r="EO64" s="304"/>
      <c r="EP64" s="304">
        <v>37.006634341831997</v>
      </c>
      <c r="EQ64" s="304"/>
      <c r="ER64" s="303"/>
      <c r="ES64" s="303">
        <v>225.44456561935584</v>
      </c>
      <c r="ET64" s="303"/>
      <c r="EU64" s="304"/>
      <c r="EV64" s="304">
        <v>33.240786567648072</v>
      </c>
      <c r="EW64" s="304"/>
      <c r="EX64" s="306"/>
      <c r="EY64" s="306">
        <v>75.07302246795868</v>
      </c>
      <c r="EZ64" s="306"/>
      <c r="FA64" s="307"/>
      <c r="FB64" s="307">
        <v>71.373356891494623</v>
      </c>
      <c r="FC64" s="307"/>
      <c r="FD64" s="306"/>
      <c r="FE64" s="306">
        <v>68.378891685173713</v>
      </c>
      <c r="FF64" s="306"/>
      <c r="FG64" s="304"/>
      <c r="FH64" s="304">
        <v>61.092309385075424</v>
      </c>
      <c r="FI64" s="304"/>
      <c r="FJ64" s="306"/>
      <c r="FK64" s="306">
        <v>47.722105960379082</v>
      </c>
      <c r="FL64" s="306"/>
      <c r="FM64" s="307"/>
      <c r="FN64" s="307">
        <v>44.314222761771219</v>
      </c>
      <c r="FO64" s="307"/>
      <c r="FP64" s="306"/>
      <c r="FQ64" s="306">
        <v>40.123694378760604</v>
      </c>
      <c r="FR64" s="306"/>
      <c r="FS64" s="307"/>
      <c r="FT64" s="307">
        <v>35.555018048218848</v>
      </c>
      <c r="FU64" s="307"/>
    </row>
    <row r="65" spans="1:177" s="284" customFormat="1" ht="13.9" customHeight="1" x14ac:dyDescent="0.2">
      <c r="G65" s="272"/>
      <c r="H65" s="272" t="s">
        <v>537</v>
      </c>
      <c r="I65" s="276"/>
      <c r="J65" s="303"/>
      <c r="K65" s="303"/>
      <c r="L65" s="303"/>
      <c r="M65" s="304"/>
      <c r="N65" s="304"/>
      <c r="O65" s="304"/>
      <c r="P65" s="303"/>
      <c r="Q65" s="303"/>
      <c r="R65" s="303"/>
      <c r="S65" s="304"/>
      <c r="T65" s="304"/>
      <c r="U65" s="304"/>
      <c r="V65" s="303"/>
      <c r="W65" s="303"/>
      <c r="X65" s="303"/>
      <c r="Y65" s="304"/>
      <c r="Z65" s="304"/>
      <c r="AA65" s="304"/>
      <c r="AB65" s="303"/>
      <c r="AC65" s="303"/>
      <c r="AD65" s="303"/>
      <c r="AE65" s="304"/>
      <c r="AF65" s="304"/>
      <c r="AG65" s="304"/>
      <c r="AH65" s="303"/>
      <c r="AI65" s="303"/>
      <c r="AJ65" s="303"/>
      <c r="AK65" s="304"/>
      <c r="AL65" s="304"/>
      <c r="AM65" s="304"/>
      <c r="AN65" s="303"/>
      <c r="AO65" s="303"/>
      <c r="AP65" s="303"/>
      <c r="AQ65" s="304"/>
      <c r="AR65" s="304"/>
      <c r="AS65" s="304"/>
      <c r="AT65" s="303"/>
      <c r="AU65" s="303"/>
      <c r="AV65" s="303"/>
      <c r="AW65" s="304"/>
      <c r="AX65" s="304"/>
      <c r="AY65" s="304"/>
      <c r="AZ65" s="303"/>
      <c r="BA65" s="303"/>
      <c r="BB65" s="303"/>
      <c r="BC65" s="304"/>
      <c r="BD65" s="304"/>
      <c r="BE65" s="304"/>
      <c r="BF65" s="303"/>
      <c r="BG65" s="303"/>
      <c r="BH65" s="303"/>
      <c r="BI65" s="304"/>
      <c r="BJ65" s="304"/>
      <c r="BK65" s="304"/>
      <c r="BL65" s="303"/>
      <c r="BM65" s="303"/>
      <c r="BN65" s="303"/>
      <c r="BO65" s="304"/>
      <c r="BP65" s="304"/>
      <c r="BQ65" s="304"/>
      <c r="BR65" s="305"/>
      <c r="BS65" s="305"/>
      <c r="BT65" s="305"/>
      <c r="BU65" s="304"/>
      <c r="BV65" s="304"/>
      <c r="BW65" s="304"/>
      <c r="BX65" s="303"/>
      <c r="BY65" s="303"/>
      <c r="BZ65" s="303"/>
      <c r="CA65" s="304"/>
      <c r="CB65" s="304"/>
      <c r="CC65" s="304"/>
      <c r="CD65" s="303"/>
      <c r="CE65" s="303"/>
      <c r="CF65" s="303"/>
      <c r="CG65" s="304"/>
      <c r="CH65" s="304"/>
      <c r="CI65" s="304"/>
      <c r="CJ65" s="303"/>
      <c r="CK65" s="303"/>
      <c r="CL65" s="303"/>
      <c r="CM65" s="304"/>
      <c r="CN65" s="304"/>
      <c r="CO65" s="304"/>
      <c r="CP65" s="303"/>
      <c r="CQ65" s="303"/>
      <c r="CR65" s="303"/>
      <c r="CS65" s="304"/>
      <c r="CT65" s="304"/>
      <c r="CU65" s="304"/>
      <c r="CV65" s="303"/>
      <c r="CW65" s="303"/>
      <c r="CX65" s="303"/>
      <c r="CY65" s="304"/>
      <c r="CZ65" s="304"/>
      <c r="DA65" s="304"/>
      <c r="DB65" s="303"/>
      <c r="DC65" s="303"/>
      <c r="DD65" s="303"/>
      <c r="DE65" s="304"/>
      <c r="DF65" s="304"/>
      <c r="DG65" s="304"/>
      <c r="DH65" s="303"/>
      <c r="DI65" s="303"/>
      <c r="DJ65" s="303"/>
      <c r="DK65" s="304"/>
      <c r="DL65" s="304"/>
      <c r="DM65" s="304"/>
      <c r="DN65" s="303"/>
      <c r="DO65" s="303"/>
      <c r="DP65" s="303"/>
      <c r="DQ65" s="304"/>
      <c r="DR65" s="304"/>
      <c r="DS65" s="304"/>
      <c r="DT65" s="303"/>
      <c r="DU65" s="303"/>
      <c r="DV65" s="303"/>
      <c r="DW65" s="304"/>
      <c r="DX65" s="304"/>
      <c r="DY65" s="304"/>
      <c r="DZ65" s="303"/>
      <c r="EA65" s="303">
        <v>0</v>
      </c>
      <c r="EB65" s="303"/>
      <c r="EC65" s="304"/>
      <c r="ED65" s="304">
        <v>0</v>
      </c>
      <c r="EE65" s="304"/>
      <c r="EF65" s="303"/>
      <c r="EG65" s="303">
        <v>0</v>
      </c>
      <c r="EH65" s="303"/>
      <c r="EI65" s="304"/>
      <c r="EJ65" s="304">
        <v>3.0967401099942062</v>
      </c>
      <c r="EK65" s="304"/>
      <c r="EL65" s="303"/>
      <c r="EM65" s="303">
        <v>-3.0967401099942062</v>
      </c>
      <c r="EN65" s="303"/>
      <c r="EO65" s="304"/>
      <c r="EP65" s="304">
        <v>12.174434209986078</v>
      </c>
      <c r="EQ65" s="304"/>
      <c r="ER65" s="303"/>
      <c r="ES65" s="303">
        <v>5.5882648800253705</v>
      </c>
      <c r="ET65" s="303"/>
      <c r="EU65" s="304"/>
      <c r="EV65" s="304">
        <v>0</v>
      </c>
      <c r="EW65" s="304"/>
      <c r="EX65" s="306"/>
      <c r="EY65" s="306">
        <v>0</v>
      </c>
      <c r="EZ65" s="306"/>
      <c r="FA65" s="307"/>
      <c r="FB65" s="307">
        <v>0</v>
      </c>
      <c r="FC65" s="307"/>
      <c r="FD65" s="306"/>
      <c r="FE65" s="306">
        <v>0</v>
      </c>
      <c r="FF65" s="306"/>
      <c r="FG65" s="304"/>
      <c r="FH65" s="304">
        <v>0</v>
      </c>
      <c r="FI65" s="304"/>
      <c r="FJ65" s="306"/>
      <c r="FK65" s="306">
        <v>0</v>
      </c>
      <c r="FL65" s="306"/>
      <c r="FM65" s="307"/>
      <c r="FN65" s="307">
        <v>0</v>
      </c>
      <c r="FO65" s="307"/>
      <c r="FP65" s="306"/>
      <c r="FQ65" s="306">
        <v>0</v>
      </c>
      <c r="FR65" s="306"/>
      <c r="FS65" s="307"/>
      <c r="FT65" s="307">
        <v>0</v>
      </c>
      <c r="FU65" s="307"/>
    </row>
    <row r="66" spans="1:177" s="284" customFormat="1" ht="13.9" customHeight="1" x14ac:dyDescent="0.2">
      <c r="G66" s="272"/>
      <c r="H66" s="272" t="s">
        <v>538</v>
      </c>
      <c r="I66" s="276"/>
      <c r="J66" s="303"/>
      <c r="K66" s="303"/>
      <c r="L66" s="303"/>
      <c r="M66" s="304"/>
      <c r="N66" s="304"/>
      <c r="O66" s="304"/>
      <c r="P66" s="303"/>
      <c r="Q66" s="303"/>
      <c r="R66" s="303"/>
      <c r="S66" s="304"/>
      <c r="T66" s="304"/>
      <c r="U66" s="304"/>
      <c r="V66" s="303"/>
      <c r="W66" s="303"/>
      <c r="X66" s="303"/>
      <c r="Y66" s="304"/>
      <c r="Z66" s="304"/>
      <c r="AA66" s="304"/>
      <c r="AB66" s="303"/>
      <c r="AC66" s="303"/>
      <c r="AD66" s="303"/>
      <c r="AE66" s="304"/>
      <c r="AF66" s="304"/>
      <c r="AG66" s="304"/>
      <c r="AH66" s="303"/>
      <c r="AI66" s="303"/>
      <c r="AJ66" s="303"/>
      <c r="AK66" s="304"/>
      <c r="AL66" s="304"/>
      <c r="AM66" s="304"/>
      <c r="AN66" s="303"/>
      <c r="AO66" s="303"/>
      <c r="AP66" s="303"/>
      <c r="AQ66" s="304"/>
      <c r="AR66" s="304"/>
      <c r="AS66" s="304"/>
      <c r="AT66" s="303"/>
      <c r="AU66" s="303"/>
      <c r="AV66" s="303"/>
      <c r="AW66" s="304"/>
      <c r="AX66" s="304"/>
      <c r="AY66" s="304"/>
      <c r="AZ66" s="303"/>
      <c r="BA66" s="303"/>
      <c r="BB66" s="303"/>
      <c r="BC66" s="304"/>
      <c r="BD66" s="304"/>
      <c r="BE66" s="304"/>
      <c r="BF66" s="303"/>
      <c r="BG66" s="303"/>
      <c r="BH66" s="303"/>
      <c r="BI66" s="304"/>
      <c r="BJ66" s="304"/>
      <c r="BK66" s="304"/>
      <c r="BL66" s="303"/>
      <c r="BM66" s="303"/>
      <c r="BN66" s="303"/>
      <c r="BO66" s="304"/>
      <c r="BP66" s="304"/>
      <c r="BQ66" s="304"/>
      <c r="BR66" s="305"/>
      <c r="BS66" s="305"/>
      <c r="BT66" s="305"/>
      <c r="BU66" s="304"/>
      <c r="BV66" s="304"/>
      <c r="BW66" s="304"/>
      <c r="BX66" s="303"/>
      <c r="BY66" s="303"/>
      <c r="BZ66" s="303"/>
      <c r="CA66" s="304"/>
      <c r="CB66" s="304"/>
      <c r="CC66" s="304"/>
      <c r="CD66" s="303"/>
      <c r="CE66" s="303"/>
      <c r="CF66" s="303"/>
      <c r="CG66" s="304"/>
      <c r="CH66" s="304"/>
      <c r="CI66" s="304"/>
      <c r="CJ66" s="303"/>
      <c r="CK66" s="303"/>
      <c r="CL66" s="303"/>
      <c r="CM66" s="304"/>
      <c r="CN66" s="304"/>
      <c r="CO66" s="304"/>
      <c r="CP66" s="303"/>
      <c r="CQ66" s="303"/>
      <c r="CR66" s="303"/>
      <c r="CS66" s="304"/>
      <c r="CT66" s="304"/>
      <c r="CU66" s="304"/>
      <c r="CV66" s="303"/>
      <c r="CW66" s="303"/>
      <c r="CX66" s="303"/>
      <c r="CY66" s="304"/>
      <c r="CZ66" s="304"/>
      <c r="DA66" s="304"/>
      <c r="DB66" s="303"/>
      <c r="DC66" s="303"/>
      <c r="DD66" s="303"/>
      <c r="DE66" s="304"/>
      <c r="DF66" s="304"/>
      <c r="DG66" s="304"/>
      <c r="DH66" s="303"/>
      <c r="DI66" s="303"/>
      <c r="DJ66" s="303"/>
      <c r="DK66" s="304"/>
      <c r="DL66" s="304"/>
      <c r="DM66" s="304"/>
      <c r="DN66" s="303"/>
      <c r="DO66" s="303"/>
      <c r="DP66" s="303"/>
      <c r="DQ66" s="304"/>
      <c r="DR66" s="304"/>
      <c r="DS66" s="304"/>
      <c r="DT66" s="303"/>
      <c r="DU66" s="303"/>
      <c r="DV66" s="303"/>
      <c r="DW66" s="304"/>
      <c r="DX66" s="304"/>
      <c r="DY66" s="304"/>
      <c r="DZ66" s="303"/>
      <c r="EA66" s="303">
        <v>33.444885835686698</v>
      </c>
      <c r="EB66" s="303"/>
      <c r="EC66" s="304"/>
      <c r="ED66" s="304">
        <v>29.310640760418451</v>
      </c>
      <c r="EE66" s="304"/>
      <c r="EF66" s="303"/>
      <c r="EG66" s="303">
        <v>33.037654083287094</v>
      </c>
      <c r="EH66" s="303"/>
      <c r="EI66" s="304"/>
      <c r="EJ66" s="304">
        <v>33.088424612654286</v>
      </c>
      <c r="EK66" s="304"/>
      <c r="EL66" s="303"/>
      <c r="EM66" s="303">
        <v>20.808163340761475</v>
      </c>
      <c r="EN66" s="303"/>
      <c r="EO66" s="304"/>
      <c r="EP66" s="304">
        <v>19.736368160564417</v>
      </c>
      <c r="EQ66" s="304"/>
      <c r="ER66" s="303"/>
      <c r="ES66" s="303">
        <v>17.011227242279638</v>
      </c>
      <c r="ET66" s="303"/>
      <c r="EU66" s="304"/>
      <c r="EV66" s="304">
        <v>16.314163744652191</v>
      </c>
      <c r="EW66" s="304"/>
      <c r="EX66" s="306">
        <v>67.254011897969932</v>
      </c>
      <c r="EY66" s="306">
        <v>23.020148054046743</v>
      </c>
      <c r="EZ66" s="306">
        <v>44.233863843923189</v>
      </c>
      <c r="FA66" s="307">
        <v>66.077042686179567</v>
      </c>
      <c r="FB66" s="307">
        <v>22.241880033015562</v>
      </c>
      <c r="FC66" s="307">
        <v>43.835162653164005</v>
      </c>
      <c r="FD66" s="306">
        <v>70.343216193219945</v>
      </c>
      <c r="FE66" s="306">
        <v>19.203729867136673</v>
      </c>
      <c r="FF66" s="306">
        <v>51.139486326083272</v>
      </c>
      <c r="FG66" s="304">
        <v>67.450669548457</v>
      </c>
      <c r="FH66" s="304">
        <v>17.487083420903051</v>
      </c>
      <c r="FI66" s="304">
        <v>49.963586127553953</v>
      </c>
      <c r="FJ66" s="306">
        <v>32.828459181816022</v>
      </c>
      <c r="FK66" s="306">
        <v>15.439717308748842</v>
      </c>
      <c r="FL66" s="306">
        <v>17.388741873067183</v>
      </c>
      <c r="FM66" s="307">
        <v>32.339381419943798</v>
      </c>
      <c r="FN66" s="307">
        <v>12.779662888973544</v>
      </c>
      <c r="FO66" s="307">
        <v>19.559718530970255</v>
      </c>
      <c r="FP66" s="306">
        <v>30.67791382699032</v>
      </c>
      <c r="FQ66" s="306">
        <v>10.851340529961693</v>
      </c>
      <c r="FR66" s="306">
        <v>19.826573297028627</v>
      </c>
      <c r="FS66" s="307">
        <v>28.726425835360494</v>
      </c>
      <c r="FT66" s="307">
        <v>11.436906967511261</v>
      </c>
      <c r="FU66" s="307">
        <v>17.289518867849232</v>
      </c>
    </row>
    <row r="67" spans="1:177" s="284" customFormat="1" ht="13.9" customHeight="1" x14ac:dyDescent="0.2">
      <c r="G67" s="272"/>
      <c r="H67" s="272" t="s">
        <v>539</v>
      </c>
      <c r="I67" s="276"/>
      <c r="J67" s="303"/>
      <c r="K67" s="303"/>
      <c r="L67" s="303"/>
      <c r="M67" s="304"/>
      <c r="N67" s="304"/>
      <c r="O67" s="304"/>
      <c r="P67" s="303"/>
      <c r="Q67" s="303"/>
      <c r="R67" s="303"/>
      <c r="S67" s="304"/>
      <c r="T67" s="304"/>
      <c r="U67" s="304"/>
      <c r="V67" s="303"/>
      <c r="W67" s="303"/>
      <c r="X67" s="303"/>
      <c r="Y67" s="304"/>
      <c r="Z67" s="304"/>
      <c r="AA67" s="304"/>
      <c r="AB67" s="303"/>
      <c r="AC67" s="303"/>
      <c r="AD67" s="303"/>
      <c r="AE67" s="304"/>
      <c r="AF67" s="304"/>
      <c r="AG67" s="304"/>
      <c r="AH67" s="303"/>
      <c r="AI67" s="303"/>
      <c r="AJ67" s="303"/>
      <c r="AK67" s="304"/>
      <c r="AL67" s="304"/>
      <c r="AM67" s="304"/>
      <c r="AN67" s="303"/>
      <c r="AO67" s="303"/>
      <c r="AP67" s="303"/>
      <c r="AQ67" s="304"/>
      <c r="AR67" s="304"/>
      <c r="AS67" s="304"/>
      <c r="AT67" s="303"/>
      <c r="AU67" s="303"/>
      <c r="AV67" s="303"/>
      <c r="AW67" s="304"/>
      <c r="AX67" s="304"/>
      <c r="AY67" s="304"/>
      <c r="AZ67" s="303"/>
      <c r="BA67" s="303"/>
      <c r="BB67" s="303"/>
      <c r="BC67" s="304"/>
      <c r="BD67" s="304"/>
      <c r="BE67" s="304"/>
      <c r="BF67" s="303"/>
      <c r="BG67" s="303"/>
      <c r="BH67" s="303"/>
      <c r="BI67" s="304"/>
      <c r="BJ67" s="304"/>
      <c r="BK67" s="304"/>
      <c r="BL67" s="303"/>
      <c r="BM67" s="303"/>
      <c r="BN67" s="303"/>
      <c r="BO67" s="304"/>
      <c r="BP67" s="304"/>
      <c r="BQ67" s="304"/>
      <c r="BR67" s="305"/>
      <c r="BS67" s="305"/>
      <c r="BT67" s="305"/>
      <c r="BU67" s="304"/>
      <c r="BV67" s="304"/>
      <c r="BW67" s="304"/>
      <c r="BX67" s="303"/>
      <c r="BY67" s="303"/>
      <c r="BZ67" s="303"/>
      <c r="CA67" s="304"/>
      <c r="CB67" s="304"/>
      <c r="CC67" s="304"/>
      <c r="CD67" s="303"/>
      <c r="CE67" s="303"/>
      <c r="CF67" s="303"/>
      <c r="CG67" s="304"/>
      <c r="CH67" s="304"/>
      <c r="CI67" s="304"/>
      <c r="CJ67" s="303"/>
      <c r="CK67" s="303"/>
      <c r="CL67" s="303"/>
      <c r="CM67" s="304"/>
      <c r="CN67" s="304"/>
      <c r="CO67" s="304"/>
      <c r="CP67" s="303"/>
      <c r="CQ67" s="303"/>
      <c r="CR67" s="303"/>
      <c r="CS67" s="304"/>
      <c r="CT67" s="304"/>
      <c r="CU67" s="304"/>
      <c r="CV67" s="303"/>
      <c r="CW67" s="303"/>
      <c r="CX67" s="303"/>
      <c r="CY67" s="304"/>
      <c r="CZ67" s="304"/>
      <c r="DA67" s="304"/>
      <c r="DB67" s="303"/>
      <c r="DC67" s="303"/>
      <c r="DD67" s="303"/>
      <c r="DE67" s="304"/>
      <c r="DF67" s="304"/>
      <c r="DG67" s="304"/>
      <c r="DH67" s="303"/>
      <c r="DI67" s="303"/>
      <c r="DJ67" s="303"/>
      <c r="DK67" s="304"/>
      <c r="DL67" s="304"/>
      <c r="DM67" s="304"/>
      <c r="DN67" s="303"/>
      <c r="DO67" s="303"/>
      <c r="DP67" s="303"/>
      <c r="DQ67" s="304"/>
      <c r="DR67" s="304"/>
      <c r="DS67" s="304"/>
      <c r="DT67" s="303"/>
      <c r="DU67" s="303"/>
      <c r="DV67" s="303"/>
      <c r="DW67" s="304"/>
      <c r="DX67" s="304"/>
      <c r="DY67" s="304"/>
      <c r="DZ67" s="303"/>
      <c r="EA67" s="303">
        <v>30.469161811740495</v>
      </c>
      <c r="EB67" s="303"/>
      <c r="EC67" s="304"/>
      <c r="ED67" s="304">
        <v>44.578346024337527</v>
      </c>
      <c r="EE67" s="304"/>
      <c r="EF67" s="303"/>
      <c r="EG67" s="303">
        <v>18.834817784836524</v>
      </c>
      <c r="EH67" s="303"/>
      <c r="EI67" s="304"/>
      <c r="EJ67" s="304">
        <v>36.454684683428802</v>
      </c>
      <c r="EK67" s="304"/>
      <c r="EL67" s="303"/>
      <c r="EM67" s="303">
        <v>14.655417380840161</v>
      </c>
      <c r="EN67" s="303"/>
      <c r="EO67" s="304"/>
      <c r="EP67" s="304">
        <v>5.8664189200000001</v>
      </c>
      <c r="EQ67" s="304"/>
      <c r="ER67" s="303"/>
      <c r="ES67" s="303">
        <v>5.6966834499999992</v>
      </c>
      <c r="ET67" s="303"/>
      <c r="EU67" s="304"/>
      <c r="EV67" s="304">
        <v>3.87550507</v>
      </c>
      <c r="EW67" s="304"/>
      <c r="EX67" s="306"/>
      <c r="EY67" s="306">
        <v>7.4704079000000005</v>
      </c>
      <c r="EZ67" s="306"/>
      <c r="FA67" s="307"/>
      <c r="FB67" s="307">
        <v>3.19048526</v>
      </c>
      <c r="FC67" s="307"/>
      <c r="FD67" s="306"/>
      <c r="FE67" s="306">
        <v>8.0937867800000003</v>
      </c>
      <c r="FF67" s="306"/>
      <c r="FG67" s="304"/>
      <c r="FH67" s="304">
        <v>6.061428980000005</v>
      </c>
      <c r="FI67" s="304"/>
      <c r="FJ67" s="306"/>
      <c r="FK67" s="306">
        <v>41.170585150000001</v>
      </c>
      <c r="FL67" s="306"/>
      <c r="FM67" s="307"/>
      <c r="FN67" s="307">
        <v>54.744348369999997</v>
      </c>
      <c r="FO67" s="307"/>
      <c r="FP67" s="306"/>
      <c r="FQ67" s="306">
        <v>4.2617545700000008</v>
      </c>
      <c r="FR67" s="306"/>
      <c r="FS67" s="307"/>
      <c r="FT67" s="307">
        <v>6.4075446199999995</v>
      </c>
      <c r="FU67" s="307"/>
    </row>
    <row r="68" spans="1:177" s="284" customFormat="1" ht="13.9" customHeight="1" x14ac:dyDescent="0.2">
      <c r="G68" s="272"/>
      <c r="H68" s="272" t="s">
        <v>540</v>
      </c>
      <c r="I68" s="276"/>
      <c r="J68" s="303"/>
      <c r="K68" s="303"/>
      <c r="L68" s="303"/>
      <c r="M68" s="304"/>
      <c r="N68" s="304"/>
      <c r="O68" s="304"/>
      <c r="P68" s="303"/>
      <c r="Q68" s="303"/>
      <c r="R68" s="303"/>
      <c r="S68" s="304"/>
      <c r="T68" s="304"/>
      <c r="U68" s="304"/>
      <c r="V68" s="303"/>
      <c r="W68" s="303"/>
      <c r="X68" s="303"/>
      <c r="Y68" s="304"/>
      <c r="Z68" s="304"/>
      <c r="AA68" s="304"/>
      <c r="AB68" s="303"/>
      <c r="AC68" s="303"/>
      <c r="AD68" s="303"/>
      <c r="AE68" s="304"/>
      <c r="AF68" s="304"/>
      <c r="AG68" s="304"/>
      <c r="AH68" s="303"/>
      <c r="AI68" s="303"/>
      <c r="AJ68" s="303"/>
      <c r="AK68" s="304"/>
      <c r="AL68" s="304"/>
      <c r="AM68" s="304"/>
      <c r="AN68" s="303"/>
      <c r="AO68" s="303"/>
      <c r="AP68" s="303"/>
      <c r="AQ68" s="304"/>
      <c r="AR68" s="304"/>
      <c r="AS68" s="304"/>
      <c r="AT68" s="303"/>
      <c r="AU68" s="303"/>
      <c r="AV68" s="303"/>
      <c r="AW68" s="304"/>
      <c r="AX68" s="304"/>
      <c r="AY68" s="304"/>
      <c r="AZ68" s="303"/>
      <c r="BA68" s="303"/>
      <c r="BB68" s="303"/>
      <c r="BC68" s="304"/>
      <c r="BD68" s="304"/>
      <c r="BE68" s="304"/>
      <c r="BF68" s="303"/>
      <c r="BG68" s="303"/>
      <c r="BH68" s="303"/>
      <c r="BI68" s="304"/>
      <c r="BJ68" s="304"/>
      <c r="BK68" s="304"/>
      <c r="BL68" s="303"/>
      <c r="BM68" s="303"/>
      <c r="BN68" s="303"/>
      <c r="BO68" s="304"/>
      <c r="BP68" s="304"/>
      <c r="BQ68" s="304"/>
      <c r="BR68" s="305"/>
      <c r="BS68" s="305"/>
      <c r="BT68" s="305"/>
      <c r="BU68" s="304"/>
      <c r="BV68" s="304"/>
      <c r="BW68" s="304"/>
      <c r="BX68" s="303"/>
      <c r="BY68" s="303"/>
      <c r="BZ68" s="303"/>
      <c r="CA68" s="304"/>
      <c r="CB68" s="304"/>
      <c r="CC68" s="304"/>
      <c r="CD68" s="303"/>
      <c r="CE68" s="303"/>
      <c r="CF68" s="303"/>
      <c r="CG68" s="304"/>
      <c r="CH68" s="304"/>
      <c r="CI68" s="304"/>
      <c r="CJ68" s="303"/>
      <c r="CK68" s="303"/>
      <c r="CL68" s="303"/>
      <c r="CM68" s="304"/>
      <c r="CN68" s="304"/>
      <c r="CO68" s="304"/>
      <c r="CP68" s="303"/>
      <c r="CQ68" s="303"/>
      <c r="CR68" s="303"/>
      <c r="CS68" s="304"/>
      <c r="CT68" s="304"/>
      <c r="CU68" s="304"/>
      <c r="CV68" s="303"/>
      <c r="CW68" s="303"/>
      <c r="CX68" s="303"/>
      <c r="CY68" s="304"/>
      <c r="CZ68" s="304"/>
      <c r="DA68" s="304"/>
      <c r="DB68" s="303"/>
      <c r="DC68" s="303"/>
      <c r="DD68" s="303"/>
      <c r="DE68" s="304"/>
      <c r="DF68" s="304"/>
      <c r="DG68" s="304"/>
      <c r="DH68" s="303"/>
      <c r="DI68" s="303"/>
      <c r="DJ68" s="303"/>
      <c r="DK68" s="304"/>
      <c r="DL68" s="304"/>
      <c r="DM68" s="304"/>
      <c r="DN68" s="303"/>
      <c r="DO68" s="303"/>
      <c r="DP68" s="303"/>
      <c r="DQ68" s="304"/>
      <c r="DR68" s="304"/>
      <c r="DS68" s="304"/>
      <c r="DT68" s="303"/>
      <c r="DU68" s="303"/>
      <c r="DV68" s="303"/>
      <c r="DW68" s="304"/>
      <c r="DX68" s="304"/>
      <c r="DY68" s="304"/>
      <c r="DZ68" s="303"/>
      <c r="EA68" s="303"/>
      <c r="EB68" s="303"/>
      <c r="EC68" s="304"/>
      <c r="ED68" s="304"/>
      <c r="EE68" s="304"/>
      <c r="EF68" s="303"/>
      <c r="EG68" s="303">
        <v>15.819549631576168</v>
      </c>
      <c r="EH68" s="303"/>
      <c r="EI68" s="304"/>
      <c r="EJ68" s="304">
        <v>0</v>
      </c>
      <c r="EK68" s="304"/>
      <c r="EL68" s="303"/>
      <c r="EM68" s="303"/>
      <c r="EN68" s="303"/>
      <c r="EO68" s="304"/>
      <c r="EP68" s="304"/>
      <c r="EQ68" s="304"/>
      <c r="ER68" s="303"/>
      <c r="ES68" s="303"/>
      <c r="ET68" s="303"/>
      <c r="EU68" s="304"/>
      <c r="EV68" s="304">
        <v>0</v>
      </c>
      <c r="EW68" s="304"/>
      <c r="EX68" s="306"/>
      <c r="EY68" s="306">
        <v>0</v>
      </c>
      <c r="EZ68" s="306"/>
      <c r="FA68" s="307"/>
      <c r="FB68" s="307">
        <v>0</v>
      </c>
      <c r="FC68" s="307"/>
      <c r="FD68" s="306"/>
      <c r="FE68" s="306">
        <v>0</v>
      </c>
      <c r="FF68" s="306"/>
      <c r="FG68" s="304"/>
      <c r="FH68" s="304">
        <v>0</v>
      </c>
      <c r="FI68" s="304"/>
      <c r="FJ68" s="306"/>
      <c r="FK68" s="306">
        <v>0</v>
      </c>
      <c r="FL68" s="306"/>
      <c r="FM68" s="307"/>
      <c r="FN68" s="307">
        <v>0</v>
      </c>
      <c r="FO68" s="307"/>
      <c r="FP68" s="306"/>
      <c r="FQ68" s="306">
        <v>0</v>
      </c>
      <c r="FR68" s="306"/>
      <c r="FS68" s="307"/>
      <c r="FT68" s="307">
        <v>0</v>
      </c>
      <c r="FU68" s="307"/>
    </row>
    <row r="69" spans="1:177" s="284" customFormat="1" ht="13.9" customHeight="1" x14ac:dyDescent="0.2">
      <c r="G69" s="272" t="s">
        <v>541</v>
      </c>
      <c r="H69" s="276"/>
      <c r="I69" s="276"/>
      <c r="J69" s="303">
        <v>24.224797593080829</v>
      </c>
      <c r="K69" s="303">
        <v>0</v>
      </c>
      <c r="L69" s="303">
        <v>24.224797593080829</v>
      </c>
      <c r="M69" s="304">
        <v>19.274064808951621</v>
      </c>
      <c r="N69" s="308">
        <v>0</v>
      </c>
      <c r="O69" s="304">
        <v>19.274064808951621</v>
      </c>
      <c r="P69" s="303">
        <v>24.274513143160405</v>
      </c>
      <c r="Q69" s="303">
        <v>0</v>
      </c>
      <c r="R69" s="303">
        <v>24.274513143160405</v>
      </c>
      <c r="S69" s="304">
        <v>22.396273661255165</v>
      </c>
      <c r="T69" s="308">
        <v>0</v>
      </c>
      <c r="U69" s="304">
        <v>22.396273661255165</v>
      </c>
      <c r="V69" s="303">
        <v>22.390269624498767</v>
      </c>
      <c r="W69" s="303"/>
      <c r="X69" s="303">
        <v>22.390269624498767</v>
      </c>
      <c r="Y69" s="304">
        <v>22.04966299734949</v>
      </c>
      <c r="Z69" s="308"/>
      <c r="AA69" s="304">
        <v>22.04966299734949</v>
      </c>
      <c r="AB69" s="303">
        <v>24.570475266787827</v>
      </c>
      <c r="AC69" s="303"/>
      <c r="AD69" s="303">
        <v>24.570475266787827</v>
      </c>
      <c r="AE69" s="304">
        <v>21.49004812213844</v>
      </c>
      <c r="AF69" s="308"/>
      <c r="AG69" s="304">
        <v>21.49004812213844</v>
      </c>
      <c r="AH69" s="303">
        <v>26.516749934948223</v>
      </c>
      <c r="AI69" s="303"/>
      <c r="AJ69" s="303">
        <v>26.516749934948223</v>
      </c>
      <c r="AK69" s="304">
        <v>24.405417609185353</v>
      </c>
      <c r="AL69" s="308"/>
      <c r="AM69" s="304">
        <v>24.405417609185353</v>
      </c>
      <c r="AN69" s="303">
        <v>25.830033606879773</v>
      </c>
      <c r="AO69" s="303"/>
      <c r="AP69" s="303">
        <v>25.830033606879773</v>
      </c>
      <c r="AQ69" s="304">
        <v>25.088228258667776</v>
      </c>
      <c r="AR69" s="308"/>
      <c r="AS69" s="304">
        <v>25.088228258667776</v>
      </c>
      <c r="AT69" s="303">
        <v>20.215776980048943</v>
      </c>
      <c r="AU69" s="303"/>
      <c r="AV69" s="303">
        <v>20.215776980048943</v>
      </c>
      <c r="AW69" s="304">
        <v>18.607497865153181</v>
      </c>
      <c r="AX69" s="308"/>
      <c r="AY69" s="304">
        <v>18.607497865153181</v>
      </c>
      <c r="AZ69" s="303">
        <v>15.178640283866363</v>
      </c>
      <c r="BA69" s="303"/>
      <c r="BB69" s="303">
        <v>15.178640283866363</v>
      </c>
      <c r="BC69" s="304">
        <v>12.199235392115417</v>
      </c>
      <c r="BD69" s="308"/>
      <c r="BE69" s="304">
        <v>12.199235392115417</v>
      </c>
      <c r="BF69" s="303">
        <v>12.042899330171958</v>
      </c>
      <c r="BG69" s="303"/>
      <c r="BH69" s="303">
        <v>12.042899330171958</v>
      </c>
      <c r="BI69" s="304">
        <v>11.043470108396122</v>
      </c>
      <c r="BJ69" s="308"/>
      <c r="BK69" s="304">
        <v>11.043470108396122</v>
      </c>
      <c r="BL69" s="303">
        <v>11.637720757577121</v>
      </c>
      <c r="BM69" s="303"/>
      <c r="BN69" s="303">
        <v>11.637720757577121</v>
      </c>
      <c r="BO69" s="304">
        <v>12.769117995426821</v>
      </c>
      <c r="BP69" s="308"/>
      <c r="BQ69" s="304">
        <v>12.769117995426821</v>
      </c>
      <c r="BR69" s="305">
        <v>12.154729783722718</v>
      </c>
      <c r="BS69" s="305"/>
      <c r="BT69" s="305">
        <v>12.154729783722718</v>
      </c>
      <c r="BU69" s="304">
        <v>14.636575037330843</v>
      </c>
      <c r="BV69" s="308"/>
      <c r="BW69" s="304">
        <v>14.636575037330843</v>
      </c>
      <c r="BX69" s="303">
        <v>20.413253983236018</v>
      </c>
      <c r="BY69" s="303"/>
      <c r="BZ69" s="303">
        <v>20.413253983236018</v>
      </c>
      <c r="CA69" s="304">
        <v>17.087795118639903</v>
      </c>
      <c r="CB69" s="308"/>
      <c r="CC69" s="304">
        <v>17.087795118639903</v>
      </c>
      <c r="CD69" s="303">
        <v>26.746672620451179</v>
      </c>
      <c r="CE69" s="303"/>
      <c r="CF69" s="303">
        <v>26.746672620451179</v>
      </c>
      <c r="CG69" s="304">
        <v>33.790193122092447</v>
      </c>
      <c r="CH69" s="308"/>
      <c r="CI69" s="304">
        <v>33.790193122092447</v>
      </c>
      <c r="CJ69" s="303">
        <v>32.23024638349716</v>
      </c>
      <c r="CK69" s="309"/>
      <c r="CL69" s="303">
        <v>32.23024638349716</v>
      </c>
      <c r="CM69" s="304">
        <v>16.897406652840825</v>
      </c>
      <c r="CN69" s="308"/>
      <c r="CO69" s="304">
        <v>16.897406652840825</v>
      </c>
      <c r="CP69" s="303">
        <v>24.363159469731961</v>
      </c>
      <c r="CQ69" s="309"/>
      <c r="CR69" s="303">
        <v>24.363159469731961</v>
      </c>
      <c r="CS69" s="304">
        <v>24.166873685457404</v>
      </c>
      <c r="CT69" s="308"/>
      <c r="CU69" s="304">
        <v>24.166873685457404</v>
      </c>
      <c r="CV69" s="303">
        <v>25.587895972348345</v>
      </c>
      <c r="CW69" s="309"/>
      <c r="CX69" s="303">
        <v>25.587895972348345</v>
      </c>
      <c r="CY69" s="304">
        <v>23.019766485911958</v>
      </c>
      <c r="CZ69" s="308"/>
      <c r="DA69" s="304">
        <v>23.019766485911958</v>
      </c>
      <c r="DB69" s="303">
        <v>25.306403952266646</v>
      </c>
      <c r="DC69" s="309"/>
      <c r="DD69" s="303">
        <v>25.306403952266646</v>
      </c>
      <c r="DE69" s="304">
        <v>23.0232621527609</v>
      </c>
      <c r="DF69" s="308"/>
      <c r="DG69" s="304">
        <v>23.0232621527609</v>
      </c>
      <c r="DH69" s="303">
        <v>20.818354649895518</v>
      </c>
      <c r="DI69" s="309"/>
      <c r="DJ69" s="303">
        <v>20.818354649895518</v>
      </c>
      <c r="DK69" s="304">
        <v>19.625612323768081</v>
      </c>
      <c r="DL69" s="308"/>
      <c r="DM69" s="304">
        <v>19.625612323768081</v>
      </c>
      <c r="DN69" s="303">
        <v>13.397504620684092</v>
      </c>
      <c r="DO69" s="309"/>
      <c r="DP69" s="303">
        <v>13.397504620684092</v>
      </c>
      <c r="DQ69" s="304">
        <v>9.8987553387022889</v>
      </c>
      <c r="DR69" s="308"/>
      <c r="DS69" s="304">
        <v>9.8987553387022889</v>
      </c>
      <c r="DT69" s="303">
        <v>2.0107321476632842</v>
      </c>
      <c r="DU69" s="309"/>
      <c r="DV69" s="303">
        <v>2.0107321476632842</v>
      </c>
      <c r="DW69" s="304">
        <v>1.4529178124146234</v>
      </c>
      <c r="DX69" s="308"/>
      <c r="DY69" s="304">
        <v>1.4529178124146234</v>
      </c>
      <c r="DZ69" s="312">
        <v>0.49363830680968468</v>
      </c>
      <c r="EA69" s="309"/>
      <c r="EB69" s="312">
        <v>0.49363830680968468</v>
      </c>
      <c r="EC69" s="304">
        <v>0.55465061413142269</v>
      </c>
      <c r="ED69" s="308"/>
      <c r="EE69" s="304">
        <v>0.55465061413142269</v>
      </c>
      <c r="EF69" s="312">
        <v>1.1310043402936669</v>
      </c>
      <c r="EG69" s="309"/>
      <c r="EH69" s="312">
        <v>1.1310043402936669</v>
      </c>
      <c r="EI69" s="304">
        <v>2.3578853042035708</v>
      </c>
      <c r="EJ69" s="308"/>
      <c r="EK69" s="304">
        <v>2.3578853042035708</v>
      </c>
      <c r="EL69" s="312">
        <v>6.183552815318988</v>
      </c>
      <c r="EM69" s="309"/>
      <c r="EN69" s="312">
        <v>6.183552815318988</v>
      </c>
      <c r="EO69" s="304">
        <v>12.773880773341016</v>
      </c>
      <c r="EP69" s="308"/>
      <c r="EQ69" s="304">
        <v>12.773880773341016</v>
      </c>
      <c r="ER69" s="303">
        <v>14.66776821151905</v>
      </c>
      <c r="ES69" s="309"/>
      <c r="ET69" s="303">
        <v>14.66776821151905</v>
      </c>
      <c r="EU69" s="304">
        <v>15.861325618435561</v>
      </c>
      <c r="EV69" s="308"/>
      <c r="EW69" s="304">
        <v>15.861325618435561</v>
      </c>
      <c r="EX69" s="306">
        <v>21.036731398992668</v>
      </c>
      <c r="EY69" s="310"/>
      <c r="EZ69" s="306">
        <v>21.036731398992668</v>
      </c>
      <c r="FA69" s="307">
        <v>33.054540819339323</v>
      </c>
      <c r="FB69" s="311"/>
      <c r="FC69" s="307">
        <v>33.054540819339323</v>
      </c>
      <c r="FD69" s="306">
        <v>32.432360563769443</v>
      </c>
      <c r="FE69" s="310"/>
      <c r="FF69" s="306">
        <v>32.432360563769443</v>
      </c>
      <c r="FG69" s="304">
        <v>32.63333895615424</v>
      </c>
      <c r="FH69" s="308"/>
      <c r="FI69" s="304">
        <v>32.63333895615424</v>
      </c>
      <c r="FJ69" s="306">
        <v>36.049291377212896</v>
      </c>
      <c r="FK69" s="310"/>
      <c r="FL69" s="306">
        <v>36.049291377212896</v>
      </c>
      <c r="FM69" s="307">
        <v>38.690391048538913</v>
      </c>
      <c r="FN69" s="311"/>
      <c r="FO69" s="307">
        <v>38.690391048538913</v>
      </c>
      <c r="FP69" s="306">
        <v>38.007963659445224</v>
      </c>
      <c r="FQ69" s="310"/>
      <c r="FR69" s="306">
        <v>38.007963659445224</v>
      </c>
      <c r="FS69" s="307">
        <v>35.416861887558944</v>
      </c>
      <c r="FT69" s="311"/>
      <c r="FU69" s="307">
        <v>35.416861887558944</v>
      </c>
    </row>
    <row r="70" spans="1:177" ht="13.9" customHeight="1" x14ac:dyDescent="0.2">
      <c r="A70" s="284"/>
      <c r="F70" s="272" t="s">
        <v>542</v>
      </c>
      <c r="J70" s="303">
        <v>0</v>
      </c>
      <c r="K70" s="303">
        <v>0</v>
      </c>
      <c r="L70" s="303">
        <v>0</v>
      </c>
      <c r="M70" s="308">
        <v>0</v>
      </c>
      <c r="N70" s="308">
        <v>0</v>
      </c>
      <c r="O70" s="308">
        <v>0</v>
      </c>
      <c r="P70" s="303">
        <v>0</v>
      </c>
      <c r="Q70" s="303">
        <v>0</v>
      </c>
      <c r="R70" s="303">
        <v>0</v>
      </c>
      <c r="S70" s="308">
        <v>0</v>
      </c>
      <c r="T70" s="308">
        <v>0</v>
      </c>
      <c r="U70" s="308">
        <v>0</v>
      </c>
      <c r="V70" s="303"/>
      <c r="W70" s="303"/>
      <c r="X70" s="303">
        <v>0</v>
      </c>
      <c r="Y70" s="308"/>
      <c r="Z70" s="308"/>
      <c r="AA70" s="308">
        <v>0</v>
      </c>
      <c r="AB70" s="303"/>
      <c r="AC70" s="303"/>
      <c r="AD70" s="303"/>
      <c r="AE70" s="308"/>
      <c r="AF70" s="308"/>
      <c r="AG70" s="308">
        <v>0</v>
      </c>
      <c r="AH70" s="303"/>
      <c r="AI70" s="303"/>
      <c r="AJ70" s="303">
        <v>0</v>
      </c>
      <c r="AK70" s="308"/>
      <c r="AL70" s="308"/>
      <c r="AM70" s="308">
        <v>0</v>
      </c>
      <c r="AN70" s="303"/>
      <c r="AO70" s="303"/>
      <c r="AP70" s="303">
        <v>0</v>
      </c>
      <c r="AQ70" s="308"/>
      <c r="AR70" s="308"/>
      <c r="AS70" s="308">
        <v>0</v>
      </c>
      <c r="AT70" s="303"/>
      <c r="AU70" s="303"/>
      <c r="AV70" s="303"/>
      <c r="AW70" s="308"/>
      <c r="AX70" s="308"/>
      <c r="AY70" s="308"/>
      <c r="AZ70" s="303"/>
      <c r="BA70" s="303"/>
      <c r="BB70" s="303"/>
      <c r="BC70" s="308"/>
      <c r="BD70" s="308"/>
      <c r="BE70" s="308"/>
      <c r="BF70" s="303"/>
      <c r="BG70" s="303"/>
      <c r="BH70" s="303"/>
      <c r="BI70" s="308"/>
      <c r="BJ70" s="308"/>
      <c r="BK70" s="308"/>
      <c r="BL70" s="303"/>
      <c r="BM70" s="303"/>
      <c r="BN70" s="303"/>
      <c r="BO70" s="308"/>
      <c r="BP70" s="308"/>
      <c r="BQ70" s="308"/>
      <c r="BR70" s="305"/>
      <c r="BS70" s="305"/>
      <c r="BT70" s="305"/>
      <c r="BU70" s="308"/>
      <c r="BV70" s="308"/>
      <c r="BW70" s="308"/>
      <c r="BX70" s="303"/>
      <c r="BY70" s="303"/>
      <c r="BZ70" s="303"/>
      <c r="CA70" s="308"/>
      <c r="CB70" s="308"/>
      <c r="CC70" s="308"/>
      <c r="CD70" s="303"/>
      <c r="CE70" s="303"/>
      <c r="CF70" s="303"/>
      <c r="CG70" s="308"/>
      <c r="CH70" s="308"/>
      <c r="CI70" s="308"/>
      <c r="CJ70" s="309"/>
      <c r="CK70" s="309"/>
      <c r="CL70" s="309"/>
      <c r="CM70" s="308"/>
      <c r="CN70" s="308"/>
      <c r="CO70" s="308"/>
      <c r="CP70" s="309"/>
      <c r="CQ70" s="309"/>
      <c r="CR70" s="309"/>
      <c r="CS70" s="308"/>
      <c r="CT70" s="308"/>
      <c r="CU70" s="308"/>
      <c r="CV70" s="309"/>
      <c r="CW70" s="309"/>
      <c r="CX70" s="309"/>
      <c r="CY70" s="308"/>
      <c r="CZ70" s="308"/>
      <c r="DA70" s="308"/>
      <c r="DB70" s="309"/>
      <c r="DC70" s="309"/>
      <c r="DD70" s="309"/>
      <c r="DE70" s="308"/>
      <c r="DF70" s="308"/>
      <c r="DG70" s="308"/>
      <c r="DH70" s="309"/>
      <c r="DI70" s="309"/>
      <c r="DJ70" s="309"/>
      <c r="DK70" s="308"/>
      <c r="DL70" s="308"/>
      <c r="DM70" s="308"/>
      <c r="DN70" s="309"/>
      <c r="DO70" s="309"/>
      <c r="DP70" s="309"/>
      <c r="DQ70" s="308"/>
      <c r="DR70" s="308"/>
      <c r="DS70" s="308"/>
      <c r="DT70" s="309"/>
      <c r="DU70" s="309"/>
      <c r="DV70" s="309"/>
      <c r="DW70" s="308"/>
      <c r="DX70" s="308"/>
      <c r="DY70" s="308"/>
      <c r="DZ70" s="309"/>
      <c r="EA70" s="309"/>
      <c r="EB70" s="309"/>
      <c r="EC70" s="308"/>
      <c r="ED70" s="308"/>
      <c r="EE70" s="308"/>
      <c r="EI70" s="308"/>
      <c r="EJ70" s="308"/>
      <c r="EK70" s="308"/>
      <c r="EL70" s="309"/>
      <c r="EM70" s="309"/>
      <c r="EN70" s="309"/>
      <c r="EO70" s="308"/>
      <c r="EP70" s="308"/>
      <c r="EQ70" s="308"/>
      <c r="ER70" s="309"/>
      <c r="ES70" s="309"/>
      <c r="ET70" s="309"/>
      <c r="EU70" s="308"/>
      <c r="EV70" s="308"/>
      <c r="EW70" s="308"/>
      <c r="EX70" s="310"/>
      <c r="EY70" s="310"/>
      <c r="EZ70" s="310"/>
      <c r="FA70" s="311"/>
      <c r="FB70" s="311"/>
      <c r="FC70" s="311"/>
      <c r="FD70" s="310"/>
      <c r="FE70" s="310"/>
      <c r="FF70" s="310"/>
      <c r="FG70" s="308"/>
      <c r="FH70" s="308"/>
      <c r="FI70" s="308"/>
      <c r="FJ70" s="310"/>
      <c r="FK70" s="310"/>
      <c r="FL70" s="310"/>
      <c r="FM70" s="311"/>
      <c r="FN70" s="311"/>
      <c r="FO70" s="311"/>
      <c r="FP70" s="310"/>
      <c r="FQ70" s="310"/>
      <c r="FR70" s="310"/>
      <c r="FS70" s="311"/>
      <c r="FT70" s="311"/>
      <c r="FU70" s="311"/>
    </row>
    <row r="71" spans="1:177" ht="13.9" customHeight="1" x14ac:dyDescent="0.2">
      <c r="A71" s="284"/>
      <c r="J71" s="303"/>
      <c r="K71" s="303"/>
      <c r="L71" s="303"/>
      <c r="M71" s="304"/>
      <c r="N71" s="304"/>
      <c r="O71" s="304"/>
      <c r="P71" s="303"/>
      <c r="Q71" s="303"/>
      <c r="R71" s="303"/>
      <c r="S71" s="304"/>
      <c r="T71" s="304"/>
      <c r="U71" s="304"/>
      <c r="V71" s="303"/>
      <c r="W71" s="303"/>
      <c r="X71" s="303"/>
      <c r="Y71" s="304"/>
      <c r="Z71" s="304"/>
      <c r="AA71" s="304"/>
      <c r="AB71" s="303"/>
      <c r="AC71" s="303"/>
      <c r="AD71" s="303"/>
      <c r="AE71" s="304"/>
      <c r="AF71" s="304"/>
      <c r="AG71" s="304"/>
      <c r="AH71" s="303"/>
      <c r="AI71" s="303"/>
      <c r="AJ71" s="303"/>
      <c r="AK71" s="304"/>
      <c r="AL71" s="304"/>
      <c r="AM71" s="304"/>
      <c r="AN71" s="303"/>
      <c r="AO71" s="303"/>
      <c r="AP71" s="303"/>
      <c r="AQ71" s="304"/>
      <c r="AR71" s="304"/>
      <c r="AS71" s="304"/>
      <c r="AT71" s="303"/>
      <c r="AU71" s="303"/>
      <c r="AV71" s="303"/>
      <c r="AW71" s="304"/>
      <c r="AX71" s="304"/>
      <c r="AY71" s="304"/>
      <c r="AZ71" s="303"/>
      <c r="BA71" s="303"/>
      <c r="BB71" s="303"/>
      <c r="BC71" s="304"/>
      <c r="BD71" s="304"/>
      <c r="BE71" s="304"/>
      <c r="BF71" s="303"/>
      <c r="BG71" s="303"/>
      <c r="BH71" s="303"/>
      <c r="BI71" s="304"/>
      <c r="BJ71" s="304"/>
      <c r="BK71" s="304"/>
      <c r="BL71" s="303"/>
      <c r="BM71" s="303"/>
      <c r="BN71" s="303"/>
      <c r="BO71" s="304"/>
      <c r="BP71" s="304"/>
      <c r="BQ71" s="304"/>
      <c r="BR71" s="305"/>
      <c r="BS71" s="305"/>
      <c r="BT71" s="305"/>
      <c r="BU71" s="304"/>
      <c r="BV71" s="304"/>
      <c r="BW71" s="304"/>
      <c r="BX71" s="303"/>
      <c r="BY71" s="303"/>
      <c r="BZ71" s="303"/>
      <c r="CA71" s="304"/>
      <c r="CB71" s="304"/>
      <c r="CC71" s="304"/>
      <c r="CD71" s="303"/>
      <c r="CE71" s="303"/>
      <c r="CF71" s="303"/>
      <c r="CG71" s="304"/>
      <c r="CH71" s="304"/>
      <c r="CI71" s="304"/>
      <c r="CJ71" s="303"/>
      <c r="CK71" s="303"/>
      <c r="CL71" s="303"/>
      <c r="CM71" s="304"/>
      <c r="CN71" s="304"/>
      <c r="CO71" s="304"/>
      <c r="CP71" s="303"/>
      <c r="CQ71" s="303"/>
      <c r="CR71" s="303"/>
      <c r="CS71" s="304"/>
      <c r="CT71" s="304"/>
      <c r="CU71" s="304"/>
      <c r="CV71" s="303"/>
      <c r="CW71" s="303"/>
      <c r="CX71" s="303"/>
      <c r="CY71" s="304"/>
      <c r="CZ71" s="304"/>
      <c r="DA71" s="304"/>
      <c r="DB71" s="303"/>
      <c r="DC71" s="303"/>
      <c r="DD71" s="303"/>
      <c r="DE71" s="304"/>
      <c r="DF71" s="304"/>
      <c r="DG71" s="304"/>
      <c r="DH71" s="303"/>
      <c r="DI71" s="303"/>
      <c r="DJ71" s="303"/>
      <c r="DK71" s="304"/>
      <c r="DL71" s="304"/>
      <c r="DM71" s="304"/>
      <c r="DN71" s="303"/>
      <c r="DO71" s="303"/>
      <c r="DP71" s="303"/>
      <c r="DQ71" s="304"/>
      <c r="DR71" s="304"/>
      <c r="DS71" s="304"/>
      <c r="DT71" s="303"/>
      <c r="DU71" s="303"/>
      <c r="DV71" s="303"/>
      <c r="DW71" s="304"/>
      <c r="DX71" s="304"/>
      <c r="DY71" s="304"/>
      <c r="DZ71" s="303"/>
      <c r="EA71" s="303"/>
      <c r="EB71" s="303"/>
      <c r="EC71" s="304"/>
      <c r="ED71" s="304"/>
      <c r="EE71" s="304"/>
      <c r="EI71" s="304"/>
      <c r="EJ71" s="304"/>
      <c r="EK71" s="304"/>
      <c r="EL71" s="303"/>
      <c r="EM71" s="303"/>
      <c r="EN71" s="303"/>
      <c r="EO71" s="304"/>
      <c r="EP71" s="304"/>
      <c r="EQ71" s="304"/>
      <c r="ER71" s="303"/>
      <c r="ES71" s="303"/>
      <c r="ET71" s="303"/>
      <c r="EU71" s="304"/>
      <c r="EV71" s="304"/>
      <c r="EW71" s="304"/>
      <c r="EX71" s="306"/>
      <c r="EY71" s="306"/>
      <c r="EZ71" s="306"/>
      <c r="FA71" s="307"/>
      <c r="FB71" s="307"/>
      <c r="FC71" s="307"/>
      <c r="FD71" s="306"/>
      <c r="FE71" s="306"/>
      <c r="FF71" s="306"/>
      <c r="FG71" s="304"/>
      <c r="FH71" s="304"/>
      <c r="FI71" s="304"/>
      <c r="FJ71" s="306"/>
      <c r="FK71" s="306"/>
      <c r="FL71" s="306"/>
      <c r="FM71" s="307"/>
      <c r="FN71" s="307"/>
      <c r="FO71" s="307"/>
      <c r="FP71" s="306"/>
      <c r="FQ71" s="306"/>
      <c r="FR71" s="306"/>
      <c r="FS71" s="307"/>
      <c r="FT71" s="307"/>
      <c r="FU71" s="307"/>
    </row>
    <row r="72" spans="1:177" s="284" customFormat="1" ht="13.9" customHeight="1" x14ac:dyDescent="0.2">
      <c r="E72" s="284" t="s">
        <v>543</v>
      </c>
      <c r="H72" s="276"/>
      <c r="I72" s="276"/>
      <c r="J72" s="298">
        <v>1513.2015587018902</v>
      </c>
      <c r="K72" s="298">
        <v>175.56</v>
      </c>
      <c r="L72" s="298">
        <v>1337.6415587018903</v>
      </c>
      <c r="M72" s="299">
        <v>1450.5658321411556</v>
      </c>
      <c r="N72" s="299">
        <v>134.17000000000002</v>
      </c>
      <c r="O72" s="299">
        <v>1316.3958321411556</v>
      </c>
      <c r="P72" s="298">
        <v>1492.5174977938955</v>
      </c>
      <c r="Q72" s="298">
        <v>158.70000000000002</v>
      </c>
      <c r="R72" s="298">
        <v>1333.8174977938954</v>
      </c>
      <c r="S72" s="299">
        <v>1581.9906582033011</v>
      </c>
      <c r="T72" s="299">
        <v>177.85098953216223</v>
      </c>
      <c r="U72" s="299">
        <v>1404.1396686711389</v>
      </c>
      <c r="V72" s="298">
        <v>1485.023841394207</v>
      </c>
      <c r="W72" s="298">
        <v>225.2</v>
      </c>
      <c r="X72" s="298">
        <v>1259.823841394207</v>
      </c>
      <c r="Y72" s="299">
        <v>1560.9296723374175</v>
      </c>
      <c r="Z72" s="299">
        <v>174.3</v>
      </c>
      <c r="AA72" s="299">
        <v>1386.6296723374176</v>
      </c>
      <c r="AB72" s="298">
        <v>1626.1190533784784</v>
      </c>
      <c r="AC72" s="298">
        <v>193.2</v>
      </c>
      <c r="AD72" s="298">
        <v>1432.9190533784783</v>
      </c>
      <c r="AE72" s="299">
        <v>1755.8227841102648</v>
      </c>
      <c r="AF72" s="299">
        <v>195.70000000000002</v>
      </c>
      <c r="AG72" s="299">
        <v>1560.1227841102648</v>
      </c>
      <c r="AH72" s="298">
        <v>1665.2338489510614</v>
      </c>
      <c r="AI72" s="298">
        <v>230.83000000000004</v>
      </c>
      <c r="AJ72" s="298">
        <v>1434.4038489510613</v>
      </c>
      <c r="AK72" s="299">
        <v>1716.481924219443</v>
      </c>
      <c r="AL72" s="299">
        <v>180.82999999999998</v>
      </c>
      <c r="AM72" s="299">
        <v>1535.6519242194431</v>
      </c>
      <c r="AN72" s="298">
        <v>1731.6752166372796</v>
      </c>
      <c r="AO72" s="298">
        <v>200.65999999999997</v>
      </c>
      <c r="AP72" s="298">
        <v>1531.0152166372795</v>
      </c>
      <c r="AQ72" s="299">
        <v>1932.3742754672332</v>
      </c>
      <c r="AR72" s="299">
        <v>206.39999999999998</v>
      </c>
      <c r="AS72" s="299">
        <v>1725.9742754672334</v>
      </c>
      <c r="AT72" s="298">
        <v>1688.2396284206698</v>
      </c>
      <c r="AU72" s="298">
        <v>227.4</v>
      </c>
      <c r="AV72" s="298">
        <v>1460.8396284206697</v>
      </c>
      <c r="AW72" s="299">
        <v>1762.0362838701155</v>
      </c>
      <c r="AX72" s="299">
        <v>187.83</v>
      </c>
      <c r="AY72" s="299">
        <v>1574.2062838701156</v>
      </c>
      <c r="AZ72" s="298">
        <v>1753.5183895779339</v>
      </c>
      <c r="BA72" s="298">
        <v>197.10000000000002</v>
      </c>
      <c r="BB72" s="298">
        <v>1556.4183895779338</v>
      </c>
      <c r="BC72" s="299">
        <v>1803.2463808637672</v>
      </c>
      <c r="BD72" s="299">
        <v>201.40000000000003</v>
      </c>
      <c r="BE72" s="299">
        <v>1601.8463808637671</v>
      </c>
      <c r="BF72" s="298">
        <v>1795.2223144132099</v>
      </c>
      <c r="BG72" s="298">
        <v>224.4</v>
      </c>
      <c r="BH72" s="298">
        <v>1570.8223144132098</v>
      </c>
      <c r="BI72" s="299">
        <v>1823.3679465618286</v>
      </c>
      <c r="BJ72" s="299">
        <v>189.89999999999998</v>
      </c>
      <c r="BK72" s="299">
        <v>1633.4679465618287</v>
      </c>
      <c r="BL72" s="298">
        <v>1769.7791253383905</v>
      </c>
      <c r="BM72" s="298">
        <v>196.45</v>
      </c>
      <c r="BN72" s="298">
        <v>1573.3291253383904</v>
      </c>
      <c r="BO72" s="299">
        <v>1872.1267534975213</v>
      </c>
      <c r="BP72" s="299">
        <v>196.70000000000002</v>
      </c>
      <c r="BQ72" s="299">
        <v>1675.4267534975213</v>
      </c>
      <c r="BR72" s="300">
        <v>1914.3613194790705</v>
      </c>
      <c r="BS72" s="300">
        <v>211</v>
      </c>
      <c r="BT72" s="300">
        <v>1703.3613194790705</v>
      </c>
      <c r="BU72" s="299">
        <v>1685.6419553105218</v>
      </c>
      <c r="BV72" s="299">
        <v>212.89999999999998</v>
      </c>
      <c r="BW72" s="299">
        <v>1472.7419553105219</v>
      </c>
      <c r="BX72" s="298">
        <v>1767.9958849412658</v>
      </c>
      <c r="BY72" s="298">
        <v>211</v>
      </c>
      <c r="BZ72" s="298">
        <v>1556.9958849412658</v>
      </c>
      <c r="CA72" s="299">
        <v>1806.6833505054026</v>
      </c>
      <c r="CB72" s="299">
        <v>213.2</v>
      </c>
      <c r="CC72" s="299">
        <v>1593.4833505054025</v>
      </c>
      <c r="CD72" s="298">
        <v>1981.508423270265</v>
      </c>
      <c r="CE72" s="298">
        <v>214.15</v>
      </c>
      <c r="CF72" s="298">
        <v>1767.3584232702649</v>
      </c>
      <c r="CG72" s="299">
        <v>1647.4157587146415</v>
      </c>
      <c r="CH72" s="299">
        <v>216.3</v>
      </c>
      <c r="CI72" s="299">
        <v>1431.1157587146415</v>
      </c>
      <c r="CJ72" s="298">
        <v>1655.2099596698147</v>
      </c>
      <c r="CK72" s="298">
        <v>214</v>
      </c>
      <c r="CL72" s="298">
        <v>1441.2099596698147</v>
      </c>
      <c r="CM72" s="299">
        <v>1738.8724976261287</v>
      </c>
      <c r="CN72" s="299">
        <v>216</v>
      </c>
      <c r="CO72" s="299">
        <v>1522.8724976261287</v>
      </c>
      <c r="CP72" s="298">
        <v>1621.5245562082473</v>
      </c>
      <c r="CQ72" s="298">
        <v>227.6</v>
      </c>
      <c r="CR72" s="298">
        <v>1393.9245562082474</v>
      </c>
      <c r="CS72" s="299">
        <v>1655.6002574705169</v>
      </c>
      <c r="CT72" s="299">
        <v>229.5</v>
      </c>
      <c r="CU72" s="299">
        <v>1426.1002574705169</v>
      </c>
      <c r="CV72" s="298">
        <v>1661.3955735923382</v>
      </c>
      <c r="CW72" s="298">
        <v>252.5</v>
      </c>
      <c r="CX72" s="298">
        <v>1408.8955735923382</v>
      </c>
      <c r="CY72" s="299">
        <v>1787.533671082758</v>
      </c>
      <c r="CZ72" s="299">
        <v>250.5</v>
      </c>
      <c r="DA72" s="299">
        <v>1537.033671082758</v>
      </c>
      <c r="DB72" s="298">
        <v>1603.7211584693307</v>
      </c>
      <c r="DC72" s="298">
        <v>238</v>
      </c>
      <c r="DD72" s="298">
        <v>1365.7211584693307</v>
      </c>
      <c r="DE72" s="299">
        <v>1383.1195543129386</v>
      </c>
      <c r="DF72" s="299">
        <v>169</v>
      </c>
      <c r="DG72" s="299">
        <v>1214.1195543129386</v>
      </c>
      <c r="DH72" s="298">
        <v>2073.8557799777491</v>
      </c>
      <c r="DI72" s="298">
        <v>254</v>
      </c>
      <c r="DJ72" s="298">
        <v>1819.8557799777491</v>
      </c>
      <c r="DK72" s="299">
        <v>2056.0748907499251</v>
      </c>
      <c r="DL72" s="299">
        <v>249</v>
      </c>
      <c r="DM72" s="299">
        <v>1807.0748907499251</v>
      </c>
      <c r="DN72" s="298">
        <v>1868.5697561231123</v>
      </c>
      <c r="DO72" s="298">
        <v>64.5</v>
      </c>
      <c r="DP72" s="298">
        <v>1804.0697561231123</v>
      </c>
      <c r="DQ72" s="299">
        <v>1459.1068749416359</v>
      </c>
      <c r="DR72" s="299">
        <v>64.5</v>
      </c>
      <c r="DS72" s="299">
        <v>1394.6068749416359</v>
      </c>
      <c r="DT72" s="298">
        <v>1253.4264136760064</v>
      </c>
      <c r="DU72" s="298">
        <v>74.5</v>
      </c>
      <c r="DV72" s="298">
        <v>1178.9264136760064</v>
      </c>
      <c r="DW72" s="299">
        <v>916.40383429304882</v>
      </c>
      <c r="DX72" s="299">
        <v>66.5</v>
      </c>
      <c r="DY72" s="299">
        <v>849.90383429304882</v>
      </c>
      <c r="DZ72" s="298">
        <v>782.84279986395575</v>
      </c>
      <c r="EA72" s="298">
        <v>84.9</v>
      </c>
      <c r="EB72" s="298">
        <v>697.94279986395577</v>
      </c>
      <c r="EC72" s="299">
        <v>829.47963830813092</v>
      </c>
      <c r="ED72" s="299">
        <v>66.5</v>
      </c>
      <c r="EE72" s="299">
        <v>762.97963830813092</v>
      </c>
      <c r="EF72" s="298">
        <v>964.19196554337805</v>
      </c>
      <c r="EG72" s="298">
        <v>70.029999999999987</v>
      </c>
      <c r="EH72" s="298">
        <v>894.16196554337807</v>
      </c>
      <c r="EI72" s="299">
        <v>1216.2993881865802</v>
      </c>
      <c r="EJ72" s="299">
        <v>75</v>
      </c>
      <c r="EK72" s="299">
        <v>1141.2993881865802</v>
      </c>
      <c r="EL72" s="298">
        <v>1428.4077966002221</v>
      </c>
      <c r="EM72" s="298">
        <v>35.443795019999996</v>
      </c>
      <c r="EN72" s="298">
        <v>1392.9640015802222</v>
      </c>
      <c r="EO72" s="299">
        <v>1410.7648772580642</v>
      </c>
      <c r="EP72" s="299">
        <v>53.194570900000002</v>
      </c>
      <c r="EQ72" s="299">
        <v>1357.5703063580643</v>
      </c>
      <c r="ER72" s="298">
        <v>1524.6203968582779</v>
      </c>
      <c r="ES72" s="298">
        <v>28.762405520000002</v>
      </c>
      <c r="ET72" s="298">
        <v>1495.857991338278</v>
      </c>
      <c r="EU72" s="299">
        <v>1625.3861593685956</v>
      </c>
      <c r="EV72" s="299">
        <v>37.606753860000005</v>
      </c>
      <c r="EW72" s="299">
        <v>1587.7794055085956</v>
      </c>
      <c r="EX72" s="301">
        <v>1537.7273115572914</v>
      </c>
      <c r="EY72" s="301">
        <v>33.209950300000003</v>
      </c>
      <c r="EZ72" s="301">
        <v>1504.5173612572914</v>
      </c>
      <c r="FA72" s="302">
        <v>1609.6902015217793</v>
      </c>
      <c r="FB72" s="302">
        <v>40.675989630000004</v>
      </c>
      <c r="FC72" s="302">
        <v>1569.0142118917793</v>
      </c>
      <c r="FD72" s="301">
        <v>1703.2881171921447</v>
      </c>
      <c r="FE72" s="301">
        <v>43.46233101</v>
      </c>
      <c r="FF72" s="301">
        <v>1659.8257861821446</v>
      </c>
      <c r="FG72" s="299">
        <v>1734.5038553891641</v>
      </c>
      <c r="FH72" s="299">
        <v>28.5496926</v>
      </c>
      <c r="FI72" s="299">
        <v>1705.954162789164</v>
      </c>
      <c r="FJ72" s="301">
        <v>1814.9649289216027</v>
      </c>
      <c r="FK72" s="301">
        <v>42.032605110000006</v>
      </c>
      <c r="FL72" s="301">
        <v>1772.9323238116026</v>
      </c>
      <c r="FM72" s="302">
        <v>1923.8284854765959</v>
      </c>
      <c r="FN72" s="302">
        <v>32.364030450000001</v>
      </c>
      <c r="FO72" s="302">
        <v>1891.4644550265959</v>
      </c>
      <c r="FP72" s="301">
        <v>2073.7707038206927</v>
      </c>
      <c r="FQ72" s="301">
        <v>22.846605650000001</v>
      </c>
      <c r="FR72" s="301">
        <v>2050.9240981706926</v>
      </c>
      <c r="FS72" s="302">
        <v>2264.4740442244788</v>
      </c>
      <c r="FT72" s="302">
        <v>33.125898130000003</v>
      </c>
      <c r="FU72" s="302">
        <v>2231.3481460944786</v>
      </c>
    </row>
    <row r="73" spans="1:177" ht="13.9" customHeight="1" x14ac:dyDescent="0.2">
      <c r="A73" s="284"/>
      <c r="F73" s="272" t="s">
        <v>544</v>
      </c>
      <c r="J73" s="303">
        <v>5.4268570245429624</v>
      </c>
      <c r="K73" s="303"/>
      <c r="L73" s="303">
        <v>5.4268570245429624</v>
      </c>
      <c r="M73" s="304">
        <v>15.968387800085594</v>
      </c>
      <c r="N73" s="304"/>
      <c r="O73" s="304">
        <v>15.968387800085594</v>
      </c>
      <c r="P73" s="303">
        <v>16.224243307399739</v>
      </c>
      <c r="Q73" s="303"/>
      <c r="R73" s="303">
        <v>16.224243307399739</v>
      </c>
      <c r="S73" s="304">
        <v>15.393734333278973</v>
      </c>
      <c r="T73" s="304"/>
      <c r="U73" s="304">
        <v>15.393734333278973</v>
      </c>
      <c r="V73" s="303">
        <v>1.9652044777625364</v>
      </c>
      <c r="W73" s="303"/>
      <c r="X73" s="303">
        <v>1.9652044777625364</v>
      </c>
      <c r="Y73" s="304">
        <v>5.0117553986922516</v>
      </c>
      <c r="Z73" s="304"/>
      <c r="AA73" s="304">
        <v>5.0117553986922516</v>
      </c>
      <c r="AB73" s="303">
        <v>1.7059779162831381</v>
      </c>
      <c r="AC73" s="303"/>
      <c r="AD73" s="303">
        <v>1.7059779162831381</v>
      </c>
      <c r="AE73" s="304">
        <v>12.255787483516009</v>
      </c>
      <c r="AF73" s="304"/>
      <c r="AG73" s="304">
        <v>12.255787483516009</v>
      </c>
      <c r="AH73" s="303">
        <v>1.8826187162441048</v>
      </c>
      <c r="AI73" s="303"/>
      <c r="AJ73" s="303">
        <v>1.8826187162441048</v>
      </c>
      <c r="AK73" s="304">
        <v>19.878700094229274</v>
      </c>
      <c r="AL73" s="304"/>
      <c r="AM73" s="304">
        <v>19.878700094229274</v>
      </c>
      <c r="AN73" s="303">
        <v>1.9617844124589452</v>
      </c>
      <c r="AO73" s="303"/>
      <c r="AP73" s="303">
        <v>1.9617844124589452</v>
      </c>
      <c r="AQ73" s="304">
        <v>4.2256117142170639</v>
      </c>
      <c r="AR73" s="304"/>
      <c r="AS73" s="304">
        <v>4.2256117142170639</v>
      </c>
      <c r="AT73" s="303">
        <v>8.8162776120306283</v>
      </c>
      <c r="AU73" s="303"/>
      <c r="AV73" s="303">
        <v>8.8162776120306283</v>
      </c>
      <c r="AW73" s="304">
        <v>8.7956952688788448</v>
      </c>
      <c r="AX73" s="304"/>
      <c r="AY73" s="304">
        <v>8.7956952688788448</v>
      </c>
      <c r="AZ73" s="303">
        <v>4.005240684840552</v>
      </c>
      <c r="BA73" s="303"/>
      <c r="BB73" s="303">
        <v>4.005240684840552</v>
      </c>
      <c r="BC73" s="304">
        <v>5.1219944212152981</v>
      </c>
      <c r="BD73" s="304"/>
      <c r="BE73" s="304">
        <v>5.1219944212152981</v>
      </c>
      <c r="BF73" s="303">
        <v>1.857691542911754</v>
      </c>
      <c r="BG73" s="303"/>
      <c r="BH73" s="303">
        <v>1.857691542911754</v>
      </c>
      <c r="BI73" s="304">
        <v>3.6458663291597437</v>
      </c>
      <c r="BJ73" s="304"/>
      <c r="BK73" s="304">
        <v>3.6458663291597437</v>
      </c>
      <c r="BL73" s="303">
        <v>0.84849856963297965</v>
      </c>
      <c r="BM73" s="303"/>
      <c r="BN73" s="303">
        <v>0.84849856963297965</v>
      </c>
      <c r="BO73" s="304">
        <v>12.612558512305425</v>
      </c>
      <c r="BP73" s="304"/>
      <c r="BQ73" s="304">
        <v>12.612558512305425</v>
      </c>
      <c r="BR73" s="305">
        <v>2.9286643548466911</v>
      </c>
      <c r="BS73" s="305"/>
      <c r="BT73" s="305">
        <v>2.9286643548466911</v>
      </c>
      <c r="BU73" s="304">
        <v>6.1103942765894725</v>
      </c>
      <c r="BV73" s="304"/>
      <c r="BW73" s="304">
        <v>6.1103942765894725</v>
      </c>
      <c r="BX73" s="303">
        <v>1.046051618986696</v>
      </c>
      <c r="BY73" s="303"/>
      <c r="BZ73" s="303">
        <v>1.046051618986696</v>
      </c>
      <c r="CA73" s="304">
        <v>0.64138443924531474</v>
      </c>
      <c r="CB73" s="304"/>
      <c r="CC73" s="304">
        <v>0.64138443924531474</v>
      </c>
      <c r="CD73" s="303">
        <v>2.9571845202488922</v>
      </c>
      <c r="CE73" s="303"/>
      <c r="CF73" s="303">
        <v>2.9571845202488922</v>
      </c>
      <c r="CG73" s="304">
        <v>2.1951458278504146</v>
      </c>
      <c r="CH73" s="304"/>
      <c r="CI73" s="304">
        <v>2.1951458278504146</v>
      </c>
      <c r="CJ73" s="303">
        <v>2.1471353082240765</v>
      </c>
      <c r="CK73" s="303"/>
      <c r="CL73" s="303">
        <v>2.1471353082240765</v>
      </c>
      <c r="CM73" s="304">
        <v>0.28762123193281963</v>
      </c>
      <c r="CN73" s="304"/>
      <c r="CO73" s="304">
        <v>0.28762123193281963</v>
      </c>
      <c r="CP73" s="303">
        <v>4.2758846403279627</v>
      </c>
      <c r="CQ73" s="303"/>
      <c r="CR73" s="303">
        <v>4.2758846403279627</v>
      </c>
      <c r="CS73" s="304">
        <v>3.1604815764438521</v>
      </c>
      <c r="CT73" s="304"/>
      <c r="CU73" s="304">
        <v>3.1604815764438521</v>
      </c>
      <c r="CV73" s="303">
        <v>1.2009153927250633</v>
      </c>
      <c r="CW73" s="303"/>
      <c r="CX73" s="303">
        <v>1.2009153927250633</v>
      </c>
      <c r="CY73" s="304">
        <v>0.20473239616122252</v>
      </c>
      <c r="CZ73" s="304"/>
      <c r="DA73" s="304">
        <v>0.20473239616122252</v>
      </c>
      <c r="DB73" s="303">
        <v>3.3794832512358237</v>
      </c>
      <c r="DC73" s="303"/>
      <c r="DD73" s="303">
        <v>3.3794832512358237</v>
      </c>
      <c r="DE73" s="304">
        <v>3.8447824592570248</v>
      </c>
      <c r="DF73" s="304"/>
      <c r="DG73" s="304">
        <v>3.8447824592570248</v>
      </c>
      <c r="DH73" s="303">
        <v>4.6601488661262511</v>
      </c>
      <c r="DI73" s="303"/>
      <c r="DJ73" s="303">
        <v>4.6601488661262511</v>
      </c>
      <c r="DK73" s="304">
        <v>0.95260716478420437</v>
      </c>
      <c r="DL73" s="304"/>
      <c r="DM73" s="304">
        <v>0.95260716478420437</v>
      </c>
      <c r="DN73" s="303">
        <v>1.5091546467685886</v>
      </c>
      <c r="DO73" s="303"/>
      <c r="DP73" s="303">
        <v>1.5091546467685886</v>
      </c>
      <c r="DQ73" s="304">
        <v>1.7896526530471144</v>
      </c>
      <c r="DR73" s="304"/>
      <c r="DS73" s="304">
        <v>1.7896526530471144</v>
      </c>
      <c r="DT73" s="303">
        <v>0.31771123852609912</v>
      </c>
      <c r="DU73" s="303"/>
      <c r="DV73" s="303">
        <v>0.31771123852609912</v>
      </c>
      <c r="DW73" s="304">
        <v>2.4258898999545959</v>
      </c>
      <c r="DX73" s="304"/>
      <c r="DY73" s="304">
        <v>2.4258898999545959</v>
      </c>
      <c r="DZ73" s="312">
        <v>0.29532159694011717</v>
      </c>
      <c r="EA73" s="303"/>
      <c r="EB73" s="312">
        <v>0.29532159694011717</v>
      </c>
      <c r="EC73" s="304">
        <v>2.0961598777861035</v>
      </c>
      <c r="ED73" s="304"/>
      <c r="EE73" s="304">
        <v>2.0961598777861035</v>
      </c>
      <c r="EF73" s="312">
        <v>3.200103755258242E-2</v>
      </c>
      <c r="EG73" s="303"/>
      <c r="EH73" s="312">
        <v>3.200103755258242E-2</v>
      </c>
      <c r="EI73" s="304">
        <v>0.92800281972150644</v>
      </c>
      <c r="EJ73" s="304"/>
      <c r="EK73" s="304">
        <v>0.92800281972150644</v>
      </c>
      <c r="EL73" s="312">
        <v>15.19442998090441</v>
      </c>
      <c r="EM73" s="303"/>
      <c r="EN73" s="312">
        <v>15.19442998090441</v>
      </c>
      <c r="EO73" s="304">
        <v>1.3610228510812887</v>
      </c>
      <c r="EP73" s="304"/>
      <c r="EQ73" s="304">
        <v>1.3610228510812887</v>
      </c>
      <c r="ER73" s="312">
        <v>2.1250736314771084</v>
      </c>
      <c r="ES73" s="303"/>
      <c r="ET73" s="312">
        <v>2.1250736314771084</v>
      </c>
      <c r="EU73" s="304">
        <v>0.94017196644607626</v>
      </c>
      <c r="EV73" s="304"/>
      <c r="EW73" s="304">
        <v>0.94017196644607626</v>
      </c>
      <c r="EX73" s="306">
        <v>1.6237017966977869</v>
      </c>
      <c r="EY73" s="306"/>
      <c r="EZ73" s="306">
        <v>1.6237017966977869</v>
      </c>
      <c r="FA73" s="307">
        <v>1.834478498402385</v>
      </c>
      <c r="FB73" s="307"/>
      <c r="FC73" s="307">
        <v>1.834478498402385</v>
      </c>
      <c r="FD73" s="306">
        <v>3.447964224110394</v>
      </c>
      <c r="FE73" s="306"/>
      <c r="FF73" s="306">
        <v>3.447964224110394</v>
      </c>
      <c r="FG73" s="304">
        <v>2.9199208346938059</v>
      </c>
      <c r="FH73" s="304"/>
      <c r="FI73" s="304">
        <v>2.9199208346938059</v>
      </c>
      <c r="FJ73" s="306">
        <v>0.52575502554697418</v>
      </c>
      <c r="FK73" s="306"/>
      <c r="FL73" s="306">
        <v>0.52575502554697418</v>
      </c>
      <c r="FM73" s="307">
        <v>0.29610374837119791</v>
      </c>
      <c r="FN73" s="307"/>
      <c r="FO73" s="307">
        <v>0.29610374837119791</v>
      </c>
      <c r="FP73" s="306">
        <v>0</v>
      </c>
      <c r="FQ73" s="306"/>
      <c r="FR73" s="306">
        <v>0</v>
      </c>
      <c r="FS73" s="307">
        <v>0</v>
      </c>
      <c r="FT73" s="307"/>
      <c r="FU73" s="307">
        <v>0</v>
      </c>
    </row>
    <row r="74" spans="1:177" ht="13.9" customHeight="1" x14ac:dyDescent="0.2">
      <c r="A74" s="284"/>
      <c r="F74" s="272" t="s">
        <v>545</v>
      </c>
      <c r="J74" s="303">
        <v>1507.7747016773474</v>
      </c>
      <c r="K74" s="303">
        <v>175.56</v>
      </c>
      <c r="L74" s="303">
        <v>1332.2147016773474</v>
      </c>
      <c r="M74" s="304">
        <v>1434.5974443410701</v>
      </c>
      <c r="N74" s="304">
        <v>134.17000000000002</v>
      </c>
      <c r="O74" s="304">
        <v>1300.42744434107</v>
      </c>
      <c r="P74" s="303">
        <v>1476.2932544864957</v>
      </c>
      <c r="Q74" s="303">
        <v>158.70000000000002</v>
      </c>
      <c r="R74" s="303">
        <v>1317.5932544864957</v>
      </c>
      <c r="S74" s="304">
        <v>1566.5969238700222</v>
      </c>
      <c r="T74" s="304">
        <v>177.85098953216223</v>
      </c>
      <c r="U74" s="304">
        <v>1388.74593433786</v>
      </c>
      <c r="V74" s="303">
        <v>1483.0586369164446</v>
      </c>
      <c r="W74" s="303">
        <v>225.2</v>
      </c>
      <c r="X74" s="303">
        <v>1257.8586369164445</v>
      </c>
      <c r="Y74" s="304">
        <v>1555.9179169387253</v>
      </c>
      <c r="Z74" s="304">
        <v>174.3</v>
      </c>
      <c r="AA74" s="304">
        <v>1381.6179169387253</v>
      </c>
      <c r="AB74" s="303">
        <v>1624.4130754621951</v>
      </c>
      <c r="AC74" s="303">
        <v>193.2</v>
      </c>
      <c r="AD74" s="303">
        <v>1431.2130754621951</v>
      </c>
      <c r="AE74" s="304">
        <v>1743.5669966267487</v>
      </c>
      <c r="AF74" s="304">
        <v>195.70000000000002</v>
      </c>
      <c r="AG74" s="304">
        <v>1547.8669966267487</v>
      </c>
      <c r="AH74" s="303">
        <v>1663.3512302348174</v>
      </c>
      <c r="AI74" s="303">
        <v>230.83000000000004</v>
      </c>
      <c r="AJ74" s="303">
        <v>1432.5212302348173</v>
      </c>
      <c r="AK74" s="304">
        <v>1696.6032241252137</v>
      </c>
      <c r="AL74" s="304">
        <v>180.82999999999998</v>
      </c>
      <c r="AM74" s="304">
        <v>1515.7732241252138</v>
      </c>
      <c r="AN74" s="303">
        <v>1729.7134322248207</v>
      </c>
      <c r="AO74" s="303">
        <v>200.65999999999997</v>
      </c>
      <c r="AP74" s="303">
        <v>1529.0534322248209</v>
      </c>
      <c r="AQ74" s="304">
        <v>1928.1486637530161</v>
      </c>
      <c r="AR74" s="304">
        <v>206.39999999999998</v>
      </c>
      <c r="AS74" s="304">
        <v>1721.748663753016</v>
      </c>
      <c r="AT74" s="303">
        <v>1679.423350808639</v>
      </c>
      <c r="AU74" s="303">
        <v>227.4</v>
      </c>
      <c r="AV74" s="303">
        <v>1452.023350808639</v>
      </c>
      <c r="AW74" s="304">
        <v>1753.2405886012366</v>
      </c>
      <c r="AX74" s="304">
        <v>187.83</v>
      </c>
      <c r="AY74" s="304">
        <v>1565.4105886012367</v>
      </c>
      <c r="AZ74" s="303">
        <v>1749.5131488930933</v>
      </c>
      <c r="BA74" s="303">
        <v>197.10000000000002</v>
      </c>
      <c r="BB74" s="303">
        <v>1552.4131488930934</v>
      </c>
      <c r="BC74" s="304">
        <v>1798.1243864425519</v>
      </c>
      <c r="BD74" s="304">
        <v>201.40000000000003</v>
      </c>
      <c r="BE74" s="304">
        <v>1596.7243864425518</v>
      </c>
      <c r="BF74" s="303">
        <v>1793.3646228702983</v>
      </c>
      <c r="BG74" s="303">
        <v>224.4</v>
      </c>
      <c r="BH74" s="303">
        <v>1568.9646228702982</v>
      </c>
      <c r="BI74" s="304">
        <v>1819.7220802326688</v>
      </c>
      <c r="BJ74" s="304">
        <v>189.89999999999998</v>
      </c>
      <c r="BK74" s="304">
        <v>1629.8220802326687</v>
      </c>
      <c r="BL74" s="303">
        <v>1768.9306267687575</v>
      </c>
      <c r="BM74" s="303">
        <v>196.45</v>
      </c>
      <c r="BN74" s="303">
        <v>1572.4806267687575</v>
      </c>
      <c r="BO74" s="304">
        <v>1859.5141949852159</v>
      </c>
      <c r="BP74" s="304">
        <v>196.70000000000002</v>
      </c>
      <c r="BQ74" s="304">
        <v>1662.8141949852159</v>
      </c>
      <c r="BR74" s="305">
        <v>1911.4326551242239</v>
      </c>
      <c r="BS74" s="305">
        <v>211</v>
      </c>
      <c r="BT74" s="305">
        <v>1700.4326551242239</v>
      </c>
      <c r="BU74" s="304">
        <v>1679.5315610339323</v>
      </c>
      <c r="BV74" s="304">
        <v>212.89999999999998</v>
      </c>
      <c r="BW74" s="304">
        <v>1466.6315610339325</v>
      </c>
      <c r="BX74" s="303">
        <v>1766.9498333222791</v>
      </c>
      <c r="BY74" s="303">
        <v>211</v>
      </c>
      <c r="BZ74" s="303">
        <v>1555.9498333222791</v>
      </c>
      <c r="CA74" s="304">
        <v>1806.0419660661573</v>
      </c>
      <c r="CB74" s="304">
        <v>213.2</v>
      </c>
      <c r="CC74" s="304">
        <v>1592.8419660661573</v>
      </c>
      <c r="CD74" s="303">
        <v>1978.5512387500162</v>
      </c>
      <c r="CE74" s="303">
        <v>214.15</v>
      </c>
      <c r="CF74" s="303">
        <v>1764.4012387500161</v>
      </c>
      <c r="CG74" s="304">
        <v>1645.2206128867911</v>
      </c>
      <c r="CH74" s="304">
        <v>216.3</v>
      </c>
      <c r="CI74" s="304">
        <v>1428.9206128867911</v>
      </c>
      <c r="CJ74" s="303">
        <v>1653.0628243615906</v>
      </c>
      <c r="CK74" s="303">
        <v>214</v>
      </c>
      <c r="CL74" s="303">
        <v>1439.0628243615906</v>
      </c>
      <c r="CM74" s="304">
        <v>1738.5848763941958</v>
      </c>
      <c r="CN74" s="304">
        <v>216</v>
      </c>
      <c r="CO74" s="304">
        <v>1522.5848763941958</v>
      </c>
      <c r="CP74" s="303">
        <v>1617.2486715679192</v>
      </c>
      <c r="CQ74" s="303">
        <v>227.6</v>
      </c>
      <c r="CR74" s="303">
        <v>1389.6486715679193</v>
      </c>
      <c r="CS74" s="304">
        <v>1652.4397758940731</v>
      </c>
      <c r="CT74" s="304">
        <v>229.5</v>
      </c>
      <c r="CU74" s="304">
        <v>1422.9397758940731</v>
      </c>
      <c r="CV74" s="303">
        <v>1660.1946581996131</v>
      </c>
      <c r="CW74" s="303">
        <v>252.5</v>
      </c>
      <c r="CX74" s="303">
        <v>1407.6946581996131</v>
      </c>
      <c r="CY74" s="304">
        <v>1787.3289386865968</v>
      </c>
      <c r="CZ74" s="304">
        <v>250.5</v>
      </c>
      <c r="DA74" s="304">
        <v>1536.8289386865968</v>
      </c>
      <c r="DB74" s="303">
        <v>1600.3416752180949</v>
      </c>
      <c r="DC74" s="303">
        <v>238</v>
      </c>
      <c r="DD74" s="303">
        <v>1362.3416752180949</v>
      </c>
      <c r="DE74" s="304">
        <v>1379.2747718536816</v>
      </c>
      <c r="DF74" s="304">
        <v>169</v>
      </c>
      <c r="DG74" s="304">
        <v>1210.2747718536816</v>
      </c>
      <c r="DH74" s="303">
        <v>2069.1956311116228</v>
      </c>
      <c r="DI74" s="303">
        <v>254</v>
      </c>
      <c r="DJ74" s="303">
        <v>1815.1956311116228</v>
      </c>
      <c r="DK74" s="304">
        <v>2055.1222835851408</v>
      </c>
      <c r="DL74" s="304">
        <v>249</v>
      </c>
      <c r="DM74" s="304">
        <v>1806.1222835851408</v>
      </c>
      <c r="DN74" s="303">
        <v>1867.0606014763437</v>
      </c>
      <c r="DO74" s="303">
        <v>64.5</v>
      </c>
      <c r="DP74" s="303">
        <v>1802.5606014763437</v>
      </c>
      <c r="DQ74" s="304">
        <v>1457.3172222885887</v>
      </c>
      <c r="DR74" s="304">
        <v>64.5</v>
      </c>
      <c r="DS74" s="304">
        <v>1392.8172222885887</v>
      </c>
      <c r="DT74" s="303">
        <v>1253.1087024374804</v>
      </c>
      <c r="DU74" s="303">
        <v>74.5</v>
      </c>
      <c r="DV74" s="303">
        <v>1178.6087024374804</v>
      </c>
      <c r="DW74" s="304">
        <v>913.97794439309428</v>
      </c>
      <c r="DX74" s="304">
        <v>66.5</v>
      </c>
      <c r="DY74" s="304">
        <v>847.47794439309428</v>
      </c>
      <c r="DZ74" s="303">
        <v>782.54747826701566</v>
      </c>
      <c r="EA74" s="303">
        <v>84.9</v>
      </c>
      <c r="EB74" s="303">
        <v>697.64747826701569</v>
      </c>
      <c r="EC74" s="304">
        <v>827.38347843034478</v>
      </c>
      <c r="ED74" s="304">
        <v>66.5</v>
      </c>
      <c r="EE74" s="304">
        <v>760.88347843034478</v>
      </c>
      <c r="EF74" s="303">
        <v>964.15996450582543</v>
      </c>
      <c r="EG74" s="303">
        <v>70.029999999999987</v>
      </c>
      <c r="EH74" s="303">
        <v>894.12996450582546</v>
      </c>
      <c r="EI74" s="304">
        <v>1215.3713853668587</v>
      </c>
      <c r="EJ74" s="304">
        <v>75</v>
      </c>
      <c r="EK74" s="304">
        <v>1140.3713853668587</v>
      </c>
      <c r="EL74" s="303">
        <v>1413.2133666193176</v>
      </c>
      <c r="EM74" s="303">
        <v>35.443795019999996</v>
      </c>
      <c r="EN74" s="303">
        <v>1377.7695715993177</v>
      </c>
      <c r="EO74" s="304">
        <v>1409.4038544069829</v>
      </c>
      <c r="EP74" s="304">
        <v>53.194570900000002</v>
      </c>
      <c r="EQ74" s="304">
        <v>1356.209283506983</v>
      </c>
      <c r="ER74" s="303">
        <v>1522.4953232268008</v>
      </c>
      <c r="ES74" s="303">
        <v>28.762405520000002</v>
      </c>
      <c r="ET74" s="303">
        <v>1493.7329177068009</v>
      </c>
      <c r="EU74" s="304">
        <v>1624.4459874021495</v>
      </c>
      <c r="EV74" s="304">
        <v>37.606753860000005</v>
      </c>
      <c r="EW74" s="304">
        <v>1586.8392335421495</v>
      </c>
      <c r="EX74" s="306">
        <v>1536.1036097605936</v>
      </c>
      <c r="EY74" s="306">
        <v>33.209950300000003</v>
      </c>
      <c r="EZ74" s="306">
        <v>1502.8936594605937</v>
      </c>
      <c r="FA74" s="307">
        <v>1607.8557230233769</v>
      </c>
      <c r="FB74" s="307">
        <v>40.675989630000004</v>
      </c>
      <c r="FC74" s="307">
        <v>1567.1797333933769</v>
      </c>
      <c r="FD74" s="306">
        <v>1699.8401529680343</v>
      </c>
      <c r="FE74" s="306">
        <v>43.46233101</v>
      </c>
      <c r="FF74" s="306">
        <v>1656.3778219580342</v>
      </c>
      <c r="FG74" s="304">
        <v>1731.5839345544703</v>
      </c>
      <c r="FH74" s="304">
        <v>28.5496926</v>
      </c>
      <c r="FI74" s="304">
        <v>1703.0342419544702</v>
      </c>
      <c r="FJ74" s="306">
        <v>1814.4391738960558</v>
      </c>
      <c r="FK74" s="306">
        <v>42.032605110000006</v>
      </c>
      <c r="FL74" s="306">
        <v>1772.4065687860557</v>
      </c>
      <c r="FM74" s="307">
        <v>1923.5323817282247</v>
      </c>
      <c r="FN74" s="307">
        <v>32.364030450000001</v>
      </c>
      <c r="FO74" s="307">
        <v>1891.1683512782247</v>
      </c>
      <c r="FP74" s="306">
        <v>2073.7707038206927</v>
      </c>
      <c r="FQ74" s="306">
        <v>22.846605650000001</v>
      </c>
      <c r="FR74" s="306">
        <v>2050.9240981706926</v>
      </c>
      <c r="FS74" s="307">
        <v>2264.4740442244788</v>
      </c>
      <c r="FT74" s="307">
        <v>33.125898130000003</v>
      </c>
      <c r="FU74" s="307">
        <v>2231.3481460944786</v>
      </c>
    </row>
    <row r="75" spans="1:177" ht="13.9" customHeight="1" x14ac:dyDescent="0.2">
      <c r="A75" s="284"/>
      <c r="H75" s="272" t="s">
        <v>546</v>
      </c>
      <c r="J75" s="303">
        <v>1507.7747016773474</v>
      </c>
      <c r="K75" s="303">
        <v>175.56</v>
      </c>
      <c r="L75" s="303">
        <v>1332.2147016773474</v>
      </c>
      <c r="M75" s="304">
        <v>1434.5974443410701</v>
      </c>
      <c r="N75" s="304">
        <v>134.17000000000002</v>
      </c>
      <c r="O75" s="304">
        <v>1300.42744434107</v>
      </c>
      <c r="P75" s="303">
        <v>1476.2932544864957</v>
      </c>
      <c r="Q75" s="303">
        <v>158.70000000000002</v>
      </c>
      <c r="R75" s="303">
        <v>1317.5932544864957</v>
      </c>
      <c r="S75" s="304">
        <v>1566.5969238700222</v>
      </c>
      <c r="T75" s="304">
        <v>177.85098953216223</v>
      </c>
      <c r="U75" s="304">
        <v>1388.74593433786</v>
      </c>
      <c r="V75" s="303">
        <v>1483.0586369164446</v>
      </c>
      <c r="W75" s="303">
        <v>225.2</v>
      </c>
      <c r="X75" s="303">
        <v>1257.8586369164445</v>
      </c>
      <c r="Y75" s="304">
        <v>1555.9179169387253</v>
      </c>
      <c r="Z75" s="304">
        <v>174.3</v>
      </c>
      <c r="AA75" s="304">
        <v>1381.6179169387253</v>
      </c>
      <c r="AB75" s="303">
        <v>1624.4130754621951</v>
      </c>
      <c r="AC75" s="303">
        <v>193.2</v>
      </c>
      <c r="AD75" s="303">
        <v>1431.2130754621951</v>
      </c>
      <c r="AE75" s="304">
        <v>1743.5669966267487</v>
      </c>
      <c r="AF75" s="304">
        <v>195.70000000000002</v>
      </c>
      <c r="AG75" s="304">
        <v>1547.8669966267487</v>
      </c>
      <c r="AH75" s="303">
        <v>1663.3512302348174</v>
      </c>
      <c r="AI75" s="303">
        <v>230.83000000000004</v>
      </c>
      <c r="AJ75" s="303">
        <v>1432.5212302348173</v>
      </c>
      <c r="AK75" s="304">
        <v>1696.6032241252137</v>
      </c>
      <c r="AL75" s="304">
        <v>180.82999999999998</v>
      </c>
      <c r="AM75" s="304">
        <v>1515.7732241252138</v>
      </c>
      <c r="AN75" s="303">
        <v>1729.7134322248207</v>
      </c>
      <c r="AO75" s="303">
        <v>200.65999999999997</v>
      </c>
      <c r="AP75" s="303">
        <v>1529.0534322248209</v>
      </c>
      <c r="AQ75" s="304">
        <v>1928.1486637530161</v>
      </c>
      <c r="AR75" s="304">
        <v>206.39999999999998</v>
      </c>
      <c r="AS75" s="304">
        <v>1721.748663753016</v>
      </c>
      <c r="AT75" s="303">
        <v>1679.423350808639</v>
      </c>
      <c r="AU75" s="303">
        <v>227.4</v>
      </c>
      <c r="AV75" s="303">
        <v>1452.023350808639</v>
      </c>
      <c r="AW75" s="304">
        <v>1753.2405886012366</v>
      </c>
      <c r="AX75" s="304">
        <v>187.83</v>
      </c>
      <c r="AY75" s="304">
        <v>1565.4105886012367</v>
      </c>
      <c r="AZ75" s="303">
        <v>1749.5131488930933</v>
      </c>
      <c r="BA75" s="303">
        <v>197.10000000000002</v>
      </c>
      <c r="BB75" s="303">
        <v>1552.4131488930934</v>
      </c>
      <c r="BC75" s="304">
        <v>1798.1243864425519</v>
      </c>
      <c r="BD75" s="304">
        <v>201.40000000000003</v>
      </c>
      <c r="BE75" s="304">
        <v>1596.7243864425518</v>
      </c>
      <c r="BF75" s="303">
        <v>1793.3646228702983</v>
      </c>
      <c r="BG75" s="303">
        <v>224.4</v>
      </c>
      <c r="BH75" s="303">
        <v>1568.9646228702982</v>
      </c>
      <c r="BI75" s="304">
        <v>1819.7220802326688</v>
      </c>
      <c r="BJ75" s="304">
        <v>189.89999999999998</v>
      </c>
      <c r="BK75" s="304">
        <v>1629.8220802326687</v>
      </c>
      <c r="BL75" s="303">
        <v>1768.9306267687575</v>
      </c>
      <c r="BM75" s="303">
        <v>196.45</v>
      </c>
      <c r="BN75" s="303">
        <v>1572.4806267687575</v>
      </c>
      <c r="BO75" s="304">
        <v>1859.5141949852159</v>
      </c>
      <c r="BP75" s="304">
        <v>196.70000000000002</v>
      </c>
      <c r="BQ75" s="304">
        <v>1662.8141949852159</v>
      </c>
      <c r="BR75" s="305">
        <v>1911.4326551242239</v>
      </c>
      <c r="BS75" s="305">
        <v>211</v>
      </c>
      <c r="BT75" s="305">
        <v>1700.4326551242239</v>
      </c>
      <c r="BU75" s="304">
        <v>1679.5315610339323</v>
      </c>
      <c r="BV75" s="304">
        <v>212.89999999999998</v>
      </c>
      <c r="BW75" s="304">
        <v>1466.6315610339325</v>
      </c>
      <c r="BX75" s="303">
        <v>1766.9498333222791</v>
      </c>
      <c r="BY75" s="303">
        <v>211</v>
      </c>
      <c r="BZ75" s="303">
        <v>1555.9498333222791</v>
      </c>
      <c r="CA75" s="304">
        <v>1806.0419660661573</v>
      </c>
      <c r="CB75" s="304">
        <v>213.2</v>
      </c>
      <c r="CC75" s="304">
        <v>1592.8419660661573</v>
      </c>
      <c r="CD75" s="303">
        <v>1978.5512387500162</v>
      </c>
      <c r="CE75" s="303">
        <v>214.15</v>
      </c>
      <c r="CF75" s="303">
        <v>1764.4012387500161</v>
      </c>
      <c r="CG75" s="304">
        <v>1645.2206128867911</v>
      </c>
      <c r="CH75" s="304">
        <v>216.3</v>
      </c>
      <c r="CI75" s="304">
        <v>1428.9206128867911</v>
      </c>
      <c r="CJ75" s="303">
        <v>1653.0628243615906</v>
      </c>
      <c r="CK75" s="303">
        <v>214</v>
      </c>
      <c r="CL75" s="303">
        <v>1439.0628243615906</v>
      </c>
      <c r="CM75" s="304">
        <v>1738.5848763941958</v>
      </c>
      <c r="CN75" s="304">
        <v>216</v>
      </c>
      <c r="CO75" s="304">
        <v>1522.5848763941958</v>
      </c>
      <c r="CP75" s="303">
        <v>1617.2486715679192</v>
      </c>
      <c r="CQ75" s="303">
        <v>227.6</v>
      </c>
      <c r="CR75" s="303">
        <v>1389.6486715679193</v>
      </c>
      <c r="CS75" s="304">
        <v>1652.4397758940731</v>
      </c>
      <c r="CT75" s="304">
        <v>229.5</v>
      </c>
      <c r="CU75" s="304">
        <v>1422.9397758940731</v>
      </c>
      <c r="CV75" s="303">
        <v>1660.1946581996131</v>
      </c>
      <c r="CW75" s="303">
        <v>252.5</v>
      </c>
      <c r="CX75" s="303">
        <v>1407.6946581996131</v>
      </c>
      <c r="CY75" s="304">
        <v>1787.3289386865968</v>
      </c>
      <c r="CZ75" s="304">
        <v>250.5</v>
      </c>
      <c r="DA75" s="304">
        <v>1536.8289386865968</v>
      </c>
      <c r="DB75" s="303">
        <v>1600.3416752180949</v>
      </c>
      <c r="DC75" s="303">
        <v>238</v>
      </c>
      <c r="DD75" s="303">
        <v>1362.3416752180949</v>
      </c>
      <c r="DE75" s="304">
        <v>1379.2747718536816</v>
      </c>
      <c r="DF75" s="304">
        <v>169</v>
      </c>
      <c r="DG75" s="304">
        <v>1210.2747718536816</v>
      </c>
      <c r="DH75" s="303">
        <v>2069.1956311116228</v>
      </c>
      <c r="DI75" s="303">
        <v>254</v>
      </c>
      <c r="DJ75" s="303">
        <v>1815.1956311116228</v>
      </c>
      <c r="DK75" s="304">
        <v>2055.1222835851408</v>
      </c>
      <c r="DL75" s="304">
        <v>249</v>
      </c>
      <c r="DM75" s="304">
        <v>1806.1222835851408</v>
      </c>
      <c r="DN75" s="303">
        <v>1867.0606014763437</v>
      </c>
      <c r="DO75" s="303">
        <v>64.5</v>
      </c>
      <c r="DP75" s="303">
        <v>1802.5606014763437</v>
      </c>
      <c r="DQ75" s="304">
        <v>1457.3172222885887</v>
      </c>
      <c r="DR75" s="304">
        <v>64.5</v>
      </c>
      <c r="DS75" s="304">
        <v>1392.8172222885887</v>
      </c>
      <c r="DT75" s="303">
        <v>1253.1087024374804</v>
      </c>
      <c r="DU75" s="303">
        <v>74.5</v>
      </c>
      <c r="DV75" s="303">
        <v>1178.6087024374804</v>
      </c>
      <c r="DW75" s="304">
        <v>913.97794439309428</v>
      </c>
      <c r="DX75" s="304">
        <v>66.5</v>
      </c>
      <c r="DY75" s="304">
        <v>847.47794439309428</v>
      </c>
      <c r="DZ75" s="303">
        <v>782.54747826701566</v>
      </c>
      <c r="EA75" s="303">
        <v>84.9</v>
      </c>
      <c r="EB75" s="303">
        <v>697.64747826701569</v>
      </c>
      <c r="EC75" s="304">
        <v>827.38347843034478</v>
      </c>
      <c r="ED75" s="304">
        <v>66.5</v>
      </c>
      <c r="EE75" s="304">
        <v>760.88347843034478</v>
      </c>
      <c r="EF75" s="303">
        <v>964.15996450582543</v>
      </c>
      <c r="EG75" s="303">
        <v>70.029999999999987</v>
      </c>
      <c r="EH75" s="303">
        <v>894.12996450582546</v>
      </c>
      <c r="EI75" s="304">
        <v>1215.3713853668587</v>
      </c>
      <c r="EJ75" s="304">
        <v>75</v>
      </c>
      <c r="EK75" s="304">
        <v>1140.3713853668587</v>
      </c>
      <c r="EL75" s="303">
        <v>1413.2133666193176</v>
      </c>
      <c r="EM75" s="303">
        <v>35.443795019999996</v>
      </c>
      <c r="EN75" s="303">
        <v>1377.7695715993177</v>
      </c>
      <c r="EO75" s="304">
        <v>1409.4038544069829</v>
      </c>
      <c r="EP75" s="304">
        <v>53.194570900000002</v>
      </c>
      <c r="EQ75" s="304">
        <v>1356.209283506983</v>
      </c>
      <c r="ER75" s="303">
        <v>1522.4953232268008</v>
      </c>
      <c r="ES75" s="303">
        <v>28.762405520000002</v>
      </c>
      <c r="ET75" s="303">
        <v>1493.7329177068009</v>
      </c>
      <c r="EU75" s="304">
        <v>1624.4459874021495</v>
      </c>
      <c r="EV75" s="304">
        <v>37.606753860000005</v>
      </c>
      <c r="EW75" s="304">
        <v>1586.8392335421495</v>
      </c>
      <c r="EX75" s="306">
        <v>1536.1036097605936</v>
      </c>
      <c r="EY75" s="306">
        <v>33.209950300000003</v>
      </c>
      <c r="EZ75" s="306">
        <v>1502.8936594605937</v>
      </c>
      <c r="FA75" s="307">
        <v>1607.8557230233769</v>
      </c>
      <c r="FB75" s="307">
        <v>40.675989630000004</v>
      </c>
      <c r="FC75" s="307">
        <v>1567.1797333933769</v>
      </c>
      <c r="FD75" s="306">
        <v>1699.8401529680343</v>
      </c>
      <c r="FE75" s="306">
        <v>43.46233101</v>
      </c>
      <c r="FF75" s="306">
        <v>1656.3778219580342</v>
      </c>
      <c r="FG75" s="304">
        <v>1731.5839345544703</v>
      </c>
      <c r="FH75" s="304">
        <v>28.5496926</v>
      </c>
      <c r="FI75" s="304">
        <v>1703.0342419544702</v>
      </c>
      <c r="FJ75" s="306">
        <v>1814.4391738960558</v>
      </c>
      <c r="FK75" s="306">
        <v>42.032605110000006</v>
      </c>
      <c r="FL75" s="306">
        <v>1772.4065687860557</v>
      </c>
      <c r="FM75" s="307">
        <v>1923.5323817282247</v>
      </c>
      <c r="FN75" s="307">
        <v>32.364030450000001</v>
      </c>
      <c r="FO75" s="307">
        <v>1891.1683512782247</v>
      </c>
      <c r="FP75" s="306">
        <v>2073.7707038206927</v>
      </c>
      <c r="FQ75" s="306">
        <v>22.846605650000001</v>
      </c>
      <c r="FR75" s="306">
        <v>2050.9240981706926</v>
      </c>
      <c r="FS75" s="307">
        <v>2264.4740442244788</v>
      </c>
      <c r="FT75" s="307">
        <v>33.125898130000003</v>
      </c>
      <c r="FU75" s="307">
        <v>2231.3481460944786</v>
      </c>
    </row>
    <row r="76" spans="1:177" ht="13.9" customHeight="1" x14ac:dyDescent="0.2">
      <c r="A76" s="284"/>
      <c r="H76" s="319" t="s">
        <v>547</v>
      </c>
      <c r="J76" s="303">
        <v>1507.7747016773474</v>
      </c>
      <c r="K76" s="303">
        <v>0</v>
      </c>
      <c r="L76" s="303">
        <v>1507.7747016773474</v>
      </c>
      <c r="M76" s="304">
        <v>1434.5974443410701</v>
      </c>
      <c r="N76" s="308">
        <v>0</v>
      </c>
      <c r="O76" s="304">
        <v>1434.5974443410701</v>
      </c>
      <c r="P76" s="303">
        <v>1476.2932544864957</v>
      </c>
      <c r="Q76" s="303">
        <v>0</v>
      </c>
      <c r="R76" s="303">
        <v>1476.2932544864957</v>
      </c>
      <c r="S76" s="304">
        <v>1566.5969238700222</v>
      </c>
      <c r="T76" s="308">
        <v>0</v>
      </c>
      <c r="U76" s="304">
        <v>1566.5969238700222</v>
      </c>
      <c r="V76" s="303">
        <v>1483.0586369164446</v>
      </c>
      <c r="W76" s="303"/>
      <c r="X76" s="303"/>
      <c r="Y76" s="304">
        <v>1555.9179169387253</v>
      </c>
      <c r="Z76" s="308"/>
      <c r="AA76" s="304"/>
      <c r="AB76" s="303">
        <v>1624.4130754621951</v>
      </c>
      <c r="AC76" s="303"/>
      <c r="AD76" s="303"/>
      <c r="AE76" s="304">
        <v>1743.5669966267487</v>
      </c>
      <c r="AF76" s="308"/>
      <c r="AG76" s="304"/>
      <c r="AH76" s="303">
        <v>1663.3512302348174</v>
      </c>
      <c r="AI76" s="303"/>
      <c r="AJ76" s="303"/>
      <c r="AK76" s="304">
        <v>1696.6032241252137</v>
      </c>
      <c r="AL76" s="308"/>
      <c r="AM76" s="304"/>
      <c r="AN76" s="303">
        <v>1729.7134322248207</v>
      </c>
      <c r="AO76" s="303"/>
      <c r="AP76" s="303"/>
      <c r="AQ76" s="304">
        <v>1928.1486637530161</v>
      </c>
      <c r="AR76" s="308"/>
      <c r="AS76" s="304"/>
      <c r="AT76" s="303">
        <v>1679.423350808639</v>
      </c>
      <c r="AU76" s="303"/>
      <c r="AV76" s="303"/>
      <c r="AW76" s="304">
        <v>1753.2405886012366</v>
      </c>
      <c r="AX76" s="308"/>
      <c r="AY76" s="304"/>
      <c r="AZ76" s="303">
        <v>1749.5131488930933</v>
      </c>
      <c r="BA76" s="303"/>
      <c r="BB76" s="303"/>
      <c r="BC76" s="304">
        <v>1798.1243864425519</v>
      </c>
      <c r="BD76" s="308"/>
      <c r="BE76" s="304"/>
      <c r="BF76" s="303">
        <v>1793.3646228702983</v>
      </c>
      <c r="BG76" s="303"/>
      <c r="BH76" s="303"/>
      <c r="BI76" s="304">
        <v>1819.7220802326688</v>
      </c>
      <c r="BJ76" s="308"/>
      <c r="BK76" s="304"/>
      <c r="BL76" s="303">
        <v>1768.9306267687575</v>
      </c>
      <c r="BM76" s="303"/>
      <c r="BN76" s="303"/>
      <c r="BO76" s="304">
        <v>1859.5141949852159</v>
      </c>
      <c r="BP76" s="308"/>
      <c r="BQ76" s="304"/>
      <c r="BR76" s="305">
        <v>1911.4326551242239</v>
      </c>
      <c r="BS76" s="305"/>
      <c r="BT76" s="305"/>
      <c r="BU76" s="304">
        <v>1679.5315610339323</v>
      </c>
      <c r="BV76" s="308"/>
      <c r="BW76" s="304"/>
      <c r="BX76" s="303">
        <v>1766.9498333222791</v>
      </c>
      <c r="BY76" s="303"/>
      <c r="BZ76" s="303"/>
      <c r="CA76" s="304">
        <v>1806.0419660661573</v>
      </c>
      <c r="CB76" s="308"/>
      <c r="CC76" s="304"/>
      <c r="CD76" s="303">
        <v>1978.5512387500162</v>
      </c>
      <c r="CE76" s="303"/>
      <c r="CF76" s="303"/>
      <c r="CG76" s="304">
        <v>1645.2206128867911</v>
      </c>
      <c r="CH76" s="308"/>
      <c r="CI76" s="304"/>
      <c r="CJ76" s="303">
        <v>1653.0628243615906</v>
      </c>
      <c r="CK76" s="309"/>
      <c r="CL76" s="303"/>
      <c r="CM76" s="304">
        <v>1738.5848763941958</v>
      </c>
      <c r="CN76" s="308"/>
      <c r="CO76" s="304"/>
      <c r="CP76" s="303">
        <v>1617.2486715679192</v>
      </c>
      <c r="CQ76" s="309"/>
      <c r="CR76" s="303"/>
      <c r="CS76" s="304">
        <v>1652.4397758940731</v>
      </c>
      <c r="CT76" s="308"/>
      <c r="CU76" s="304"/>
      <c r="CV76" s="303">
        <v>1660.1946581996131</v>
      </c>
      <c r="CW76" s="309"/>
      <c r="CX76" s="303"/>
      <c r="CY76" s="304">
        <v>1787.3289386865968</v>
      </c>
      <c r="CZ76" s="308"/>
      <c r="DA76" s="304"/>
      <c r="DB76" s="303">
        <v>1600.3416752180949</v>
      </c>
      <c r="DC76" s="309"/>
      <c r="DD76" s="303"/>
      <c r="DE76" s="304">
        <v>1379.2747718536816</v>
      </c>
      <c r="DF76" s="308"/>
      <c r="DG76" s="304"/>
      <c r="DH76" s="303">
        <v>2069.1956311116228</v>
      </c>
      <c r="DI76" s="309"/>
      <c r="DJ76" s="303"/>
      <c r="DK76" s="304">
        <v>2055.1222835851408</v>
      </c>
      <c r="DL76" s="308"/>
      <c r="DM76" s="304"/>
      <c r="DN76" s="303">
        <v>1867.0606014763437</v>
      </c>
      <c r="DO76" s="309"/>
      <c r="DP76" s="303"/>
      <c r="DQ76" s="304">
        <v>1457.3172222885887</v>
      </c>
      <c r="DR76" s="308"/>
      <c r="DS76" s="304"/>
      <c r="DT76" s="303">
        <v>1253.1087024374804</v>
      </c>
      <c r="DU76" s="309"/>
      <c r="DV76" s="303"/>
      <c r="DW76" s="304">
        <v>913.97794439309428</v>
      </c>
      <c r="DX76" s="308"/>
      <c r="DY76" s="304"/>
      <c r="DZ76" s="303">
        <v>782.54747826701566</v>
      </c>
      <c r="EA76" s="309"/>
      <c r="EB76" s="303"/>
      <c r="EC76" s="304">
        <v>827.38347843034478</v>
      </c>
      <c r="ED76" s="308"/>
      <c r="EE76" s="304"/>
      <c r="EF76" s="303">
        <v>964.15996450582543</v>
      </c>
      <c r="EG76" s="309"/>
      <c r="EH76" s="303"/>
      <c r="EI76" s="304">
        <v>1215.3713853668587</v>
      </c>
      <c r="EJ76" s="308"/>
      <c r="EK76" s="304"/>
      <c r="EL76" s="303">
        <v>1413.2133666193176</v>
      </c>
      <c r="EM76" s="309"/>
      <c r="EN76" s="303"/>
      <c r="EO76" s="304">
        <v>1409.4038544069829</v>
      </c>
      <c r="EP76" s="308"/>
      <c r="EQ76" s="304"/>
      <c r="ER76" s="303">
        <v>1522.4953232268008</v>
      </c>
      <c r="ES76" s="309"/>
      <c r="ET76" s="303"/>
      <c r="EU76" s="304">
        <v>1624.4459874021495</v>
      </c>
      <c r="EV76" s="308"/>
      <c r="EW76" s="304"/>
      <c r="EX76" s="306">
        <v>1536.1036097605936</v>
      </c>
      <c r="EY76" s="310"/>
      <c r="EZ76" s="306"/>
      <c r="FA76" s="307">
        <v>1607.8557230233769</v>
      </c>
      <c r="FB76" s="311"/>
      <c r="FC76" s="307"/>
      <c r="FD76" s="306">
        <v>1699.8401529680343</v>
      </c>
      <c r="FE76" s="310"/>
      <c r="FF76" s="306"/>
      <c r="FG76" s="304">
        <v>1731.5839345544703</v>
      </c>
      <c r="FH76" s="308"/>
      <c r="FI76" s="304"/>
      <c r="FJ76" s="306">
        <v>1814.4391738960558</v>
      </c>
      <c r="FK76" s="310"/>
      <c r="FL76" s="306"/>
      <c r="FM76" s="307">
        <v>1923.5323817282247</v>
      </c>
      <c r="FN76" s="311"/>
      <c r="FO76" s="307"/>
      <c r="FP76" s="306">
        <v>2073.7707038206927</v>
      </c>
      <c r="FQ76" s="310"/>
      <c r="FR76" s="306"/>
      <c r="FS76" s="307">
        <v>2264.4740442244788</v>
      </c>
      <c r="FT76" s="311"/>
      <c r="FU76" s="307"/>
    </row>
    <row r="77" spans="1:177" ht="13.9" customHeight="1" x14ac:dyDescent="0.2">
      <c r="A77" s="284"/>
      <c r="F77" s="272" t="s">
        <v>548</v>
      </c>
      <c r="J77" s="303"/>
      <c r="K77" s="303"/>
      <c r="L77" s="303"/>
      <c r="M77" s="304"/>
      <c r="N77" s="304"/>
      <c r="O77" s="304"/>
      <c r="P77" s="303"/>
      <c r="Q77" s="303"/>
      <c r="R77" s="303"/>
      <c r="S77" s="304"/>
      <c r="T77" s="304"/>
      <c r="U77" s="304"/>
      <c r="V77" s="303"/>
      <c r="W77" s="303"/>
      <c r="X77" s="303"/>
      <c r="Y77" s="304"/>
      <c r="Z77" s="304"/>
      <c r="AA77" s="304"/>
      <c r="AB77" s="303"/>
      <c r="AC77" s="303"/>
      <c r="AD77" s="303"/>
      <c r="AE77" s="304"/>
      <c r="AF77" s="304"/>
      <c r="AG77" s="304"/>
      <c r="AH77" s="303"/>
      <c r="AI77" s="303"/>
      <c r="AJ77" s="303"/>
      <c r="AK77" s="304"/>
      <c r="AL77" s="304"/>
      <c r="AM77" s="304"/>
      <c r="AN77" s="303"/>
      <c r="AO77" s="303"/>
      <c r="AP77" s="303"/>
      <c r="AQ77" s="304"/>
      <c r="AR77" s="304"/>
      <c r="AS77" s="304"/>
      <c r="AT77" s="303"/>
      <c r="AU77" s="303"/>
      <c r="AV77" s="303"/>
      <c r="AW77" s="304"/>
      <c r="AX77" s="304"/>
      <c r="AY77" s="304"/>
      <c r="AZ77" s="303"/>
      <c r="BA77" s="303"/>
      <c r="BB77" s="303"/>
      <c r="BC77" s="304"/>
      <c r="BD77" s="304"/>
      <c r="BE77" s="304"/>
      <c r="BF77" s="303"/>
      <c r="BG77" s="303"/>
      <c r="BH77" s="303"/>
      <c r="BI77" s="304"/>
      <c r="BJ77" s="304"/>
      <c r="BK77" s="304"/>
      <c r="BL77" s="303"/>
      <c r="BM77" s="303"/>
      <c r="BN77" s="303"/>
      <c r="BO77" s="304"/>
      <c r="BP77" s="304"/>
      <c r="BQ77" s="304"/>
      <c r="BR77" s="305"/>
      <c r="BS77" s="305"/>
      <c r="BT77" s="305"/>
      <c r="BU77" s="304"/>
      <c r="BV77" s="304"/>
      <c r="BW77" s="304"/>
      <c r="BX77" s="303"/>
      <c r="BY77" s="303"/>
      <c r="BZ77" s="303"/>
      <c r="CA77" s="304"/>
      <c r="CB77" s="304"/>
      <c r="CC77" s="304"/>
      <c r="CD77" s="303"/>
      <c r="CE77" s="303"/>
      <c r="CF77" s="303"/>
      <c r="CG77" s="304"/>
      <c r="CH77" s="304"/>
      <c r="CI77" s="304"/>
      <c r="CJ77" s="303"/>
      <c r="CK77" s="303"/>
      <c r="CL77" s="303"/>
      <c r="CM77" s="304"/>
      <c r="CN77" s="304"/>
      <c r="CO77" s="304"/>
      <c r="CP77" s="303"/>
      <c r="CQ77" s="303"/>
      <c r="CR77" s="303"/>
      <c r="CS77" s="304"/>
      <c r="CT77" s="304"/>
      <c r="CU77" s="304"/>
      <c r="CV77" s="303"/>
      <c r="CW77" s="303"/>
      <c r="CX77" s="303"/>
      <c r="CY77" s="304"/>
      <c r="CZ77" s="304"/>
      <c r="DA77" s="304"/>
      <c r="DB77" s="303"/>
      <c r="DC77" s="303"/>
      <c r="DD77" s="303"/>
      <c r="DE77" s="304"/>
      <c r="DF77" s="304"/>
      <c r="DG77" s="304"/>
      <c r="DH77" s="303"/>
      <c r="DI77" s="303"/>
      <c r="DJ77" s="303"/>
      <c r="DK77" s="304"/>
      <c r="DL77" s="304"/>
      <c r="DM77" s="304"/>
      <c r="DN77" s="303"/>
      <c r="DO77" s="303"/>
      <c r="DP77" s="303"/>
      <c r="DQ77" s="304"/>
      <c r="DR77" s="304"/>
      <c r="DS77" s="304"/>
      <c r="DT77" s="303"/>
      <c r="DU77" s="303"/>
      <c r="DV77" s="303"/>
      <c r="DW77" s="304"/>
      <c r="DX77" s="304"/>
      <c r="DY77" s="304"/>
      <c r="DZ77" s="303"/>
      <c r="EA77" s="303"/>
      <c r="EB77" s="303"/>
      <c r="EC77" s="304"/>
      <c r="ED77" s="304"/>
      <c r="EE77" s="304"/>
      <c r="EI77" s="304"/>
      <c r="EJ77" s="304"/>
      <c r="EK77" s="304"/>
      <c r="EL77" s="303"/>
      <c r="EM77" s="303"/>
      <c r="EN77" s="303"/>
      <c r="EO77" s="304"/>
      <c r="EP77" s="304"/>
      <c r="EQ77" s="304"/>
      <c r="ER77" s="303"/>
      <c r="ES77" s="303"/>
      <c r="ET77" s="303"/>
      <c r="EU77" s="304"/>
      <c r="EV77" s="304"/>
      <c r="EW77" s="304"/>
      <c r="EX77" s="306"/>
      <c r="EY77" s="306"/>
      <c r="EZ77" s="306"/>
      <c r="FA77" s="307"/>
      <c r="FB77" s="307"/>
      <c r="FC77" s="307"/>
      <c r="FD77" s="306"/>
      <c r="FE77" s="306"/>
      <c r="FF77" s="306"/>
      <c r="FG77" s="304"/>
      <c r="FH77" s="304"/>
      <c r="FI77" s="304"/>
      <c r="FJ77" s="306"/>
      <c r="FK77" s="306"/>
      <c r="FL77" s="306"/>
      <c r="FM77" s="307"/>
      <c r="FN77" s="307"/>
      <c r="FO77" s="307"/>
      <c r="FP77" s="306"/>
      <c r="FQ77" s="306"/>
      <c r="FR77" s="306"/>
      <c r="FS77" s="307"/>
      <c r="FT77" s="307"/>
      <c r="FU77" s="307"/>
    </row>
    <row r="78" spans="1:177" ht="13.9" customHeight="1" x14ac:dyDescent="0.2">
      <c r="A78" s="284"/>
      <c r="J78" s="303"/>
      <c r="K78" s="303"/>
      <c r="L78" s="303"/>
      <c r="M78" s="304"/>
      <c r="N78" s="304"/>
      <c r="O78" s="304"/>
      <c r="P78" s="303"/>
      <c r="Q78" s="303"/>
      <c r="R78" s="303"/>
      <c r="S78" s="304"/>
      <c r="T78" s="304"/>
      <c r="U78" s="304"/>
      <c r="V78" s="303"/>
      <c r="W78" s="303"/>
      <c r="X78" s="303"/>
      <c r="Y78" s="304"/>
      <c r="Z78" s="304"/>
      <c r="AA78" s="304"/>
      <c r="AB78" s="303"/>
      <c r="AC78" s="303"/>
      <c r="AD78" s="303"/>
      <c r="AE78" s="304"/>
      <c r="AF78" s="304"/>
      <c r="AG78" s="304"/>
      <c r="AH78" s="303"/>
      <c r="AI78" s="303"/>
      <c r="AJ78" s="303"/>
      <c r="AK78" s="304"/>
      <c r="AL78" s="304"/>
      <c r="AM78" s="304"/>
      <c r="AN78" s="303"/>
      <c r="AO78" s="303"/>
      <c r="AP78" s="303"/>
      <c r="AQ78" s="304"/>
      <c r="AR78" s="304"/>
      <c r="AS78" s="304"/>
      <c r="AT78" s="303"/>
      <c r="AU78" s="303"/>
      <c r="AV78" s="303"/>
      <c r="AW78" s="304"/>
      <c r="AX78" s="304"/>
      <c r="AY78" s="304"/>
      <c r="AZ78" s="303"/>
      <c r="BA78" s="303"/>
      <c r="BB78" s="303"/>
      <c r="BC78" s="304"/>
      <c r="BD78" s="304"/>
      <c r="BE78" s="304"/>
      <c r="BF78" s="303"/>
      <c r="BG78" s="303"/>
      <c r="BH78" s="303"/>
      <c r="BI78" s="304"/>
      <c r="BJ78" s="304"/>
      <c r="BK78" s="304"/>
      <c r="BL78" s="303"/>
      <c r="BM78" s="303"/>
      <c r="BN78" s="303"/>
      <c r="BO78" s="304"/>
      <c r="BP78" s="304"/>
      <c r="BQ78" s="304"/>
      <c r="BR78" s="305"/>
      <c r="BS78" s="305"/>
      <c r="BT78" s="305"/>
      <c r="BU78" s="304"/>
      <c r="BV78" s="304"/>
      <c r="BW78" s="304"/>
      <c r="BX78" s="303"/>
      <c r="BY78" s="303"/>
      <c r="BZ78" s="303"/>
      <c r="CA78" s="304"/>
      <c r="CB78" s="304"/>
      <c r="CC78" s="304"/>
      <c r="CD78" s="303"/>
      <c r="CE78" s="303"/>
      <c r="CF78" s="303"/>
      <c r="CG78" s="304"/>
      <c r="CH78" s="304"/>
      <c r="CI78" s="304"/>
      <c r="CJ78" s="303"/>
      <c r="CK78" s="303"/>
      <c r="CL78" s="303"/>
      <c r="CM78" s="304"/>
      <c r="CN78" s="304"/>
      <c r="CO78" s="304"/>
      <c r="CP78" s="303"/>
      <c r="CQ78" s="303"/>
      <c r="CR78" s="303"/>
      <c r="CS78" s="304"/>
      <c r="CT78" s="304"/>
      <c r="CU78" s="304"/>
      <c r="CV78" s="303"/>
      <c r="CW78" s="303"/>
      <c r="CX78" s="303"/>
      <c r="CY78" s="304"/>
      <c r="CZ78" s="304"/>
      <c r="DA78" s="304"/>
      <c r="DB78" s="303"/>
      <c r="DC78" s="303"/>
      <c r="DD78" s="303"/>
      <c r="DE78" s="304"/>
      <c r="DF78" s="304"/>
      <c r="DG78" s="304"/>
      <c r="DH78" s="303"/>
      <c r="DI78" s="303"/>
      <c r="DJ78" s="303"/>
      <c r="DK78" s="304"/>
      <c r="DL78" s="304"/>
      <c r="DM78" s="304"/>
      <c r="DN78" s="303"/>
      <c r="DO78" s="303"/>
      <c r="DP78" s="303"/>
      <c r="DQ78" s="304"/>
      <c r="DR78" s="304"/>
      <c r="DS78" s="304"/>
      <c r="DT78" s="303"/>
      <c r="DU78" s="303"/>
      <c r="DV78" s="303"/>
      <c r="DW78" s="304"/>
      <c r="DX78" s="304"/>
      <c r="DY78" s="304"/>
      <c r="DZ78" s="303"/>
      <c r="EA78" s="303"/>
      <c r="EB78" s="303"/>
      <c r="EC78" s="304"/>
      <c r="ED78" s="304"/>
      <c r="EE78" s="304"/>
      <c r="EI78" s="304"/>
      <c r="EJ78" s="304"/>
      <c r="EK78" s="304"/>
      <c r="EL78" s="303"/>
      <c r="EM78" s="303"/>
      <c r="EN78" s="303"/>
      <c r="EO78" s="304"/>
      <c r="EP78" s="304"/>
      <c r="EQ78" s="304"/>
      <c r="ER78" s="303"/>
      <c r="ES78" s="303"/>
      <c r="ET78" s="303"/>
      <c r="EU78" s="304"/>
      <c r="EV78" s="304"/>
      <c r="EW78" s="304"/>
      <c r="EX78" s="306"/>
      <c r="EY78" s="306"/>
      <c r="EZ78" s="306"/>
      <c r="FA78" s="307"/>
      <c r="FB78" s="307"/>
      <c r="FC78" s="307"/>
      <c r="FD78" s="306"/>
      <c r="FE78" s="306"/>
      <c r="FF78" s="306"/>
      <c r="FG78" s="304"/>
      <c r="FH78" s="304"/>
      <c r="FI78" s="304"/>
      <c r="FJ78" s="306"/>
      <c r="FK78" s="306"/>
      <c r="FL78" s="306"/>
      <c r="FM78" s="307"/>
      <c r="FN78" s="307"/>
      <c r="FO78" s="307"/>
      <c r="FP78" s="306"/>
      <c r="FQ78" s="306"/>
      <c r="FR78" s="306"/>
      <c r="FS78" s="307"/>
      <c r="FT78" s="307"/>
      <c r="FU78" s="307"/>
    </row>
    <row r="79" spans="1:177" ht="13.9" customHeight="1" x14ac:dyDescent="0.2">
      <c r="A79" s="284"/>
      <c r="C79" s="284" t="s">
        <v>549</v>
      </c>
      <c r="J79" s="298">
        <v>5055.7257698927642</v>
      </c>
      <c r="K79" s="298">
        <v>6532.3052236250624</v>
      </c>
      <c r="L79" s="298">
        <v>-1476.5794537322981</v>
      </c>
      <c r="M79" s="299">
        <v>4687.3099736213899</v>
      </c>
      <c r="N79" s="299">
        <v>5402.8371275721556</v>
      </c>
      <c r="O79" s="299">
        <v>-715.52715395076575</v>
      </c>
      <c r="P79" s="298">
        <v>4903.7590450725511</v>
      </c>
      <c r="Q79" s="298">
        <v>5587.9313785935174</v>
      </c>
      <c r="R79" s="298">
        <v>-684.17233352096628</v>
      </c>
      <c r="S79" s="299">
        <v>5107.1781026856725</v>
      </c>
      <c r="T79" s="299">
        <v>6212.6304127223057</v>
      </c>
      <c r="U79" s="299">
        <v>-1105.4523100366332</v>
      </c>
      <c r="V79" s="298">
        <v>5044.6759766447904</v>
      </c>
      <c r="W79" s="298">
        <v>6106.5480479522939</v>
      </c>
      <c r="X79" s="298">
        <v>-1061.8720713075036</v>
      </c>
      <c r="Y79" s="299">
        <v>4980.5784004966781</v>
      </c>
      <c r="Z79" s="299">
        <v>5954.3865737397091</v>
      </c>
      <c r="AA79" s="299">
        <v>-973.80817324303098</v>
      </c>
      <c r="AB79" s="298">
        <v>5529.1227629633295</v>
      </c>
      <c r="AC79" s="298">
        <v>5932.1744571111667</v>
      </c>
      <c r="AD79" s="298">
        <v>-403.05169414783722</v>
      </c>
      <c r="AE79" s="299">
        <v>6084.631657902899</v>
      </c>
      <c r="AF79" s="299">
        <v>6186.4748727219239</v>
      </c>
      <c r="AG79" s="299">
        <v>-101.84321481902498</v>
      </c>
      <c r="AH79" s="298">
        <v>5972.186778264183</v>
      </c>
      <c r="AI79" s="298">
        <v>6425.9535116158941</v>
      </c>
      <c r="AJ79" s="298">
        <v>-453.76673335171108</v>
      </c>
      <c r="AK79" s="299">
        <v>5699.8276544974597</v>
      </c>
      <c r="AL79" s="299">
        <v>5753.2865359524649</v>
      </c>
      <c r="AM79" s="299">
        <v>-53.458881455005212</v>
      </c>
      <c r="AN79" s="298">
        <v>6033.7626454181045</v>
      </c>
      <c r="AO79" s="298">
        <v>6875.8230573527235</v>
      </c>
      <c r="AP79" s="298">
        <v>-842.06041193461897</v>
      </c>
      <c r="AQ79" s="299">
        <v>6230.2114681878957</v>
      </c>
      <c r="AR79" s="299">
        <v>6868.6096656715645</v>
      </c>
      <c r="AS79" s="299">
        <v>-638.39819748366881</v>
      </c>
      <c r="AT79" s="298">
        <v>6258.9675908572881</v>
      </c>
      <c r="AU79" s="298">
        <v>6580.0887969540354</v>
      </c>
      <c r="AV79" s="298">
        <v>-321.1212060967473</v>
      </c>
      <c r="AW79" s="299">
        <v>5800.8052083949788</v>
      </c>
      <c r="AX79" s="299">
        <v>6359.5216325991323</v>
      </c>
      <c r="AY79" s="299">
        <v>-558.71642420415355</v>
      </c>
      <c r="AZ79" s="298">
        <v>6014.0342373167996</v>
      </c>
      <c r="BA79" s="298">
        <v>6317.1764905000946</v>
      </c>
      <c r="BB79" s="298">
        <v>-303.142253183295</v>
      </c>
      <c r="BC79" s="299">
        <v>6003.7177216029741</v>
      </c>
      <c r="BD79" s="299">
        <v>6703.5119220442139</v>
      </c>
      <c r="BE79" s="299">
        <v>-699.79420044123981</v>
      </c>
      <c r="BF79" s="298">
        <v>6491.9570530887831</v>
      </c>
      <c r="BG79" s="298">
        <v>6456.4368986193413</v>
      </c>
      <c r="BH79" s="298">
        <v>35.520154469441877</v>
      </c>
      <c r="BI79" s="299">
        <v>5810.2060689310201</v>
      </c>
      <c r="BJ79" s="299">
        <v>6486.561556138292</v>
      </c>
      <c r="BK79" s="299">
        <v>-676.35548720727184</v>
      </c>
      <c r="BL79" s="298">
        <v>6273.5370883551095</v>
      </c>
      <c r="BM79" s="298">
        <v>6366.6893380284091</v>
      </c>
      <c r="BN79" s="298">
        <v>-93.152249673299593</v>
      </c>
      <c r="BO79" s="299">
        <v>6259.6534571332404</v>
      </c>
      <c r="BP79" s="299">
        <v>7268.0655899510493</v>
      </c>
      <c r="BQ79" s="299">
        <v>-1008.4121328178089</v>
      </c>
      <c r="BR79" s="300">
        <v>6806.0054831425805</v>
      </c>
      <c r="BS79" s="300">
        <v>7212.0383063485506</v>
      </c>
      <c r="BT79" s="300">
        <v>-406.03282320597009</v>
      </c>
      <c r="BU79" s="299">
        <v>6030.2519351965857</v>
      </c>
      <c r="BV79" s="299">
        <v>6665.1346825507462</v>
      </c>
      <c r="BW79" s="299">
        <v>-634.88274735416053</v>
      </c>
      <c r="BX79" s="298">
        <v>6808.3898696071874</v>
      </c>
      <c r="BY79" s="298">
        <v>6992.4691219926581</v>
      </c>
      <c r="BZ79" s="298">
        <v>-184.07925238547068</v>
      </c>
      <c r="CA79" s="299">
        <v>6787.2521922589331</v>
      </c>
      <c r="CB79" s="299">
        <v>7871.2529923202974</v>
      </c>
      <c r="CC79" s="299">
        <v>-1084.0008000613643</v>
      </c>
      <c r="CD79" s="298">
        <v>7393.1452817478485</v>
      </c>
      <c r="CE79" s="298">
        <v>7980.6105701913202</v>
      </c>
      <c r="CF79" s="298">
        <v>-587.46528844347176</v>
      </c>
      <c r="CG79" s="299">
        <v>6344.155199875373</v>
      </c>
      <c r="CH79" s="299">
        <v>7363.593955449036</v>
      </c>
      <c r="CI79" s="299">
        <v>-1019.438755573663</v>
      </c>
      <c r="CJ79" s="298">
        <v>6986.485365259593</v>
      </c>
      <c r="CK79" s="298">
        <v>7365.811525091578</v>
      </c>
      <c r="CL79" s="298">
        <v>-379.32615983198502</v>
      </c>
      <c r="CM79" s="299">
        <v>6811.6322739065781</v>
      </c>
      <c r="CN79" s="299">
        <v>7624.4551356080092</v>
      </c>
      <c r="CO79" s="299">
        <v>-812.82286170143107</v>
      </c>
      <c r="CP79" s="298">
        <v>7296.7459365109862</v>
      </c>
      <c r="CQ79" s="298">
        <v>6846.9849201609622</v>
      </c>
      <c r="CR79" s="298">
        <v>449.76101635002397</v>
      </c>
      <c r="CS79" s="299">
        <v>6024.1535935981601</v>
      </c>
      <c r="CT79" s="299">
        <v>6825.0850996196205</v>
      </c>
      <c r="CU79" s="299">
        <v>-800.93150602146034</v>
      </c>
      <c r="CV79" s="298">
        <v>6431.5825403945701</v>
      </c>
      <c r="CW79" s="298">
        <v>7007.585432023573</v>
      </c>
      <c r="CX79" s="298">
        <v>-576.00289162900299</v>
      </c>
      <c r="CY79" s="299">
        <v>6639.6486678700985</v>
      </c>
      <c r="CZ79" s="299">
        <v>7555.875509730472</v>
      </c>
      <c r="DA79" s="299">
        <v>-916.2268418603735</v>
      </c>
      <c r="DB79" s="298">
        <v>5882.7694767027933</v>
      </c>
      <c r="DC79" s="298">
        <v>6323.6566883030391</v>
      </c>
      <c r="DD79" s="298">
        <v>-440.88721160024579</v>
      </c>
      <c r="DE79" s="299">
        <v>3663.1962639953217</v>
      </c>
      <c r="DF79" s="299">
        <v>4318.7753508057995</v>
      </c>
      <c r="DG79" s="299">
        <v>-655.57908681047775</v>
      </c>
      <c r="DH79" s="298">
        <v>5641.0352466375552</v>
      </c>
      <c r="DI79" s="298">
        <v>5415.0214832263764</v>
      </c>
      <c r="DJ79" s="298">
        <v>226.01376341117884</v>
      </c>
      <c r="DK79" s="299">
        <v>5210.8693901579436</v>
      </c>
      <c r="DL79" s="299">
        <v>5527.5370083647576</v>
      </c>
      <c r="DM79" s="299">
        <v>-316.66761820681404</v>
      </c>
      <c r="DN79" s="298">
        <v>5379.4427592379998</v>
      </c>
      <c r="DO79" s="298">
        <v>5791.6233737948551</v>
      </c>
      <c r="DP79" s="298">
        <v>-412.18061455685529</v>
      </c>
      <c r="DQ79" s="299">
        <v>4700.6791062297634</v>
      </c>
      <c r="DR79" s="299">
        <v>5671.2393253477894</v>
      </c>
      <c r="DS79" s="299">
        <v>-970.560219118026</v>
      </c>
      <c r="DT79" s="298">
        <v>5063.6292142498387</v>
      </c>
      <c r="DU79" s="298">
        <v>5826.315555635666</v>
      </c>
      <c r="DV79" s="298">
        <v>-762.68634138582729</v>
      </c>
      <c r="DW79" s="299">
        <v>5443.2480545874778</v>
      </c>
      <c r="DX79" s="299">
        <v>6582.0930972150845</v>
      </c>
      <c r="DY79" s="299">
        <v>-1138.8450426276067</v>
      </c>
      <c r="DZ79" s="298">
        <v>5084.759862340391</v>
      </c>
      <c r="EA79" s="298">
        <v>6404.6043684333272</v>
      </c>
      <c r="EB79" s="298">
        <v>-1319.8445060929362</v>
      </c>
      <c r="EC79" s="299">
        <v>4797.1155452253406</v>
      </c>
      <c r="ED79" s="299">
        <v>5164.6302376922413</v>
      </c>
      <c r="EE79" s="299">
        <v>-367.51469246690067</v>
      </c>
      <c r="EF79" s="298">
        <v>5146.4580432256007</v>
      </c>
      <c r="EG79" s="298">
        <v>4979.7336592454903</v>
      </c>
      <c r="EH79" s="298">
        <v>166.72438398011036</v>
      </c>
      <c r="EI79" s="299">
        <v>5199.7280778902141</v>
      </c>
      <c r="EJ79" s="299">
        <v>5127.5469414447343</v>
      </c>
      <c r="EK79" s="299">
        <v>72.181136445479751</v>
      </c>
      <c r="EL79" s="298">
        <v>5801.8432000018684</v>
      </c>
      <c r="EM79" s="298">
        <v>5219.1966900652433</v>
      </c>
      <c r="EN79" s="298">
        <v>582.64650993662508</v>
      </c>
      <c r="EO79" s="299">
        <v>5554.2541226403819</v>
      </c>
      <c r="EP79" s="299">
        <v>5493.8190841486203</v>
      </c>
      <c r="EQ79" s="299">
        <v>60.435038491761588</v>
      </c>
      <c r="ER79" s="298">
        <v>6276.1883990017277</v>
      </c>
      <c r="ES79" s="298">
        <v>5670.8897555133826</v>
      </c>
      <c r="ET79" s="298">
        <v>605.29864348834508</v>
      </c>
      <c r="EU79" s="299">
        <v>6143.4312424957789</v>
      </c>
      <c r="EV79" s="299">
        <v>5952.6967485037376</v>
      </c>
      <c r="EW79" s="299">
        <v>190.73449399204128</v>
      </c>
      <c r="EX79" s="301">
        <v>6692.1725573614767</v>
      </c>
      <c r="EY79" s="301">
        <v>5964.5792688809233</v>
      </c>
      <c r="EZ79" s="301">
        <v>727.59328848055338</v>
      </c>
      <c r="FA79" s="302">
        <v>6169.6269083733232</v>
      </c>
      <c r="FB79" s="302">
        <v>5748.2437629546475</v>
      </c>
      <c r="FC79" s="302">
        <v>421.38314541867567</v>
      </c>
      <c r="FD79" s="301">
        <v>7058.5066261050979</v>
      </c>
      <c r="FE79" s="301">
        <v>6766.9661927935531</v>
      </c>
      <c r="FF79" s="301">
        <v>291.5404333115448</v>
      </c>
      <c r="FG79" s="299">
        <v>6956.3086364753744</v>
      </c>
      <c r="FH79" s="299">
        <v>7189.5219294696426</v>
      </c>
      <c r="FI79" s="299">
        <v>-233.21329299426816</v>
      </c>
      <c r="FJ79" s="301">
        <v>7347.6596121538496</v>
      </c>
      <c r="FK79" s="301">
        <v>6399.9149610576178</v>
      </c>
      <c r="FL79" s="301">
        <v>947.74465109623179</v>
      </c>
      <c r="FM79" s="302">
        <v>6806.9212119685635</v>
      </c>
      <c r="FN79" s="302">
        <v>6310.2818159491253</v>
      </c>
      <c r="FO79" s="302">
        <v>496.63939601943821</v>
      </c>
      <c r="FP79" s="301">
        <v>7618.3774787906059</v>
      </c>
      <c r="FQ79" s="301">
        <v>7209.5426764238782</v>
      </c>
      <c r="FR79" s="301">
        <v>408.83480236672767</v>
      </c>
      <c r="FS79" s="302">
        <v>7530.8574634417528</v>
      </c>
      <c r="FT79" s="302">
        <v>7664.750425987686</v>
      </c>
      <c r="FU79" s="302">
        <v>-133.89296254593319</v>
      </c>
    </row>
    <row r="80" spans="1:177" ht="13.9" customHeight="1" x14ac:dyDescent="0.2">
      <c r="A80" s="284"/>
      <c r="J80" s="303"/>
      <c r="K80" s="303"/>
      <c r="L80" s="303"/>
      <c r="M80" s="304"/>
      <c r="N80" s="304"/>
      <c r="O80" s="304"/>
      <c r="P80" s="303"/>
      <c r="Q80" s="303"/>
      <c r="R80" s="303"/>
      <c r="S80" s="304"/>
      <c r="T80" s="304"/>
      <c r="U80" s="304"/>
      <c r="V80" s="303"/>
      <c r="W80" s="303"/>
      <c r="X80" s="303"/>
      <c r="Y80" s="304"/>
      <c r="Z80" s="304"/>
      <c r="AA80" s="304"/>
      <c r="AB80" s="303"/>
      <c r="AC80" s="303"/>
      <c r="AD80" s="303"/>
      <c r="AE80" s="304"/>
      <c r="AF80" s="304"/>
      <c r="AG80" s="304"/>
      <c r="AH80" s="303"/>
      <c r="AI80" s="303"/>
      <c r="AJ80" s="303"/>
      <c r="AK80" s="304"/>
      <c r="AL80" s="304"/>
      <c r="AM80" s="304"/>
      <c r="AN80" s="303"/>
      <c r="AO80" s="303"/>
      <c r="AP80" s="303"/>
      <c r="AQ80" s="304"/>
      <c r="AR80" s="304"/>
      <c r="AS80" s="304"/>
      <c r="AT80" s="303"/>
      <c r="AU80" s="303"/>
      <c r="AV80" s="303"/>
      <c r="AW80" s="304"/>
      <c r="AX80" s="304"/>
      <c r="AY80" s="304"/>
      <c r="AZ80" s="303"/>
      <c r="BA80" s="303"/>
      <c r="BB80" s="303"/>
      <c r="BC80" s="304"/>
      <c r="BD80" s="304"/>
      <c r="BE80" s="304"/>
      <c r="BF80" s="303"/>
      <c r="BG80" s="303"/>
      <c r="BH80" s="303"/>
      <c r="BI80" s="304"/>
      <c r="BJ80" s="304"/>
      <c r="BK80" s="304"/>
      <c r="BL80" s="303"/>
      <c r="BM80" s="303"/>
      <c r="BN80" s="303"/>
      <c r="BO80" s="304"/>
      <c r="BP80" s="304"/>
      <c r="BQ80" s="304"/>
      <c r="BR80" s="305"/>
      <c r="BS80" s="305"/>
      <c r="BT80" s="305"/>
      <c r="BU80" s="304"/>
      <c r="BV80" s="304"/>
      <c r="BW80" s="304"/>
      <c r="BX80" s="303"/>
      <c r="BY80" s="303"/>
      <c r="BZ80" s="303"/>
      <c r="CA80" s="304"/>
      <c r="CB80" s="304"/>
      <c r="CC80" s="304"/>
      <c r="CD80" s="303"/>
      <c r="CE80" s="303"/>
      <c r="CF80" s="303"/>
      <c r="CG80" s="304"/>
      <c r="CH80" s="304"/>
      <c r="CI80" s="304"/>
      <c r="CJ80" s="303"/>
      <c r="CK80" s="303"/>
      <c r="CL80" s="303"/>
      <c r="CM80" s="304"/>
      <c r="CN80" s="304"/>
      <c r="CO80" s="304"/>
      <c r="CP80" s="303"/>
      <c r="CQ80" s="303"/>
      <c r="CR80" s="303"/>
      <c r="CS80" s="304"/>
      <c r="CT80" s="304"/>
      <c r="CU80" s="304"/>
      <c r="CV80" s="303"/>
      <c r="CW80" s="303"/>
      <c r="CX80" s="303"/>
      <c r="CY80" s="304"/>
      <c r="CZ80" s="304"/>
      <c r="DA80" s="304"/>
      <c r="DB80" s="303"/>
      <c r="DC80" s="303"/>
      <c r="DD80" s="303"/>
      <c r="DE80" s="304"/>
      <c r="DF80" s="304"/>
      <c r="DG80" s="304"/>
      <c r="DH80" s="303"/>
      <c r="DI80" s="303"/>
      <c r="DJ80" s="303"/>
      <c r="DK80" s="304"/>
      <c r="DL80" s="304"/>
      <c r="DM80" s="304"/>
      <c r="DN80" s="303"/>
      <c r="DO80" s="303"/>
      <c r="DP80" s="303"/>
      <c r="DQ80" s="304"/>
      <c r="DR80" s="304"/>
      <c r="DS80" s="304"/>
      <c r="DT80" s="303"/>
      <c r="DU80" s="303"/>
      <c r="DV80" s="303"/>
      <c r="DW80" s="304"/>
      <c r="DX80" s="304"/>
      <c r="DY80" s="304"/>
      <c r="DZ80" s="303"/>
      <c r="EA80" s="303"/>
      <c r="EB80" s="303"/>
      <c r="EC80" s="304"/>
      <c r="ED80" s="304"/>
      <c r="EE80" s="304"/>
      <c r="EF80" s="303"/>
      <c r="EG80" s="303"/>
      <c r="EH80" s="303"/>
      <c r="EI80" s="304"/>
      <c r="EJ80" s="304"/>
      <c r="EK80" s="304"/>
      <c r="EL80" s="303"/>
      <c r="EM80" s="303"/>
      <c r="EN80" s="303"/>
      <c r="EO80" s="304"/>
      <c r="EP80" s="304"/>
      <c r="EQ80" s="304"/>
      <c r="ER80" s="303"/>
      <c r="ES80" s="303"/>
      <c r="ET80" s="303"/>
      <c r="EU80" s="304"/>
      <c r="EV80" s="304"/>
      <c r="EW80" s="304"/>
      <c r="EX80" s="306"/>
      <c r="EY80" s="306"/>
      <c r="EZ80" s="306"/>
      <c r="FA80" s="307"/>
      <c r="FB80" s="307"/>
      <c r="FC80" s="307"/>
      <c r="FD80" s="306"/>
      <c r="FE80" s="306"/>
      <c r="FF80" s="306"/>
      <c r="FG80" s="304"/>
      <c r="FH80" s="304"/>
      <c r="FI80" s="304"/>
      <c r="FJ80" s="306"/>
      <c r="FK80" s="306"/>
      <c r="FL80" s="306"/>
      <c r="FM80" s="307"/>
      <c r="FN80" s="307"/>
      <c r="FO80" s="307"/>
      <c r="FP80" s="306"/>
      <c r="FQ80" s="306"/>
      <c r="FR80" s="306"/>
      <c r="FS80" s="307"/>
      <c r="FT80" s="307"/>
      <c r="FU80" s="307"/>
    </row>
    <row r="81" spans="1:177" s="284" customFormat="1" ht="13.9" customHeight="1" x14ac:dyDescent="0.2">
      <c r="C81" s="284" t="s">
        <v>550</v>
      </c>
      <c r="H81" s="276"/>
      <c r="I81" s="276"/>
      <c r="J81" s="298">
        <v>20.774338097661737</v>
      </c>
      <c r="K81" s="298">
        <v>6.1080420364299854</v>
      </c>
      <c r="L81" s="298">
        <v>14.666296061231751</v>
      </c>
      <c r="M81" s="299">
        <v>42.075820874292262</v>
      </c>
      <c r="N81" s="308">
        <v>0.40298128624523871</v>
      </c>
      <c r="O81" s="299">
        <v>41.672839588047026</v>
      </c>
      <c r="P81" s="298">
        <v>44.893670115750197</v>
      </c>
      <c r="Q81" s="298">
        <v>1.0080278089517765</v>
      </c>
      <c r="R81" s="298">
        <v>43.885642306798424</v>
      </c>
      <c r="S81" s="299">
        <v>38.081206084022071</v>
      </c>
      <c r="T81" s="308">
        <v>7.9631131072814725</v>
      </c>
      <c r="U81" s="299">
        <v>30.118092976740598</v>
      </c>
      <c r="V81" s="298">
        <v>14.034073031298512</v>
      </c>
      <c r="W81" s="298">
        <v>8.6241259432101032</v>
      </c>
      <c r="X81" s="298">
        <v>5.4099470880884084</v>
      </c>
      <c r="Y81" s="299">
        <v>22.79696458472505</v>
      </c>
      <c r="Z81" s="308">
        <v>0.58265629515190775</v>
      </c>
      <c r="AA81" s="299">
        <v>22.214308289573143</v>
      </c>
      <c r="AB81" s="298">
        <v>19.412375456290636</v>
      </c>
      <c r="AC81" s="298">
        <v>1.9471478208374111</v>
      </c>
      <c r="AD81" s="298">
        <v>17.465227635453225</v>
      </c>
      <c r="AE81" s="299">
        <v>33.311784316439883</v>
      </c>
      <c r="AF81" s="308">
        <v>7.516244410460188</v>
      </c>
      <c r="AG81" s="299">
        <v>25.795539905979695</v>
      </c>
      <c r="AH81" s="298">
        <v>8.516291901596194</v>
      </c>
      <c r="AI81" s="298">
        <v>4.57</v>
      </c>
      <c r="AJ81" s="298">
        <v>3.9462919015961937</v>
      </c>
      <c r="AK81" s="299">
        <v>42.357585889282944</v>
      </c>
      <c r="AL81" s="308">
        <v>4.99</v>
      </c>
      <c r="AM81" s="299">
        <v>37.367585889282942</v>
      </c>
      <c r="AN81" s="298">
        <v>8.6633139088523272</v>
      </c>
      <c r="AO81" s="298">
        <v>2.0099999999999998</v>
      </c>
      <c r="AP81" s="298">
        <v>6.6533139088523274</v>
      </c>
      <c r="AQ81" s="299">
        <v>13.287564612117407</v>
      </c>
      <c r="AR81" s="308">
        <v>3</v>
      </c>
      <c r="AS81" s="299">
        <v>10.287564612117407</v>
      </c>
      <c r="AT81" s="298">
        <v>21.683086993771166</v>
      </c>
      <c r="AU81" s="298">
        <v>6.62</v>
      </c>
      <c r="AV81" s="298">
        <v>15.063086993771165</v>
      </c>
      <c r="AW81" s="299">
        <v>21.784862642203567</v>
      </c>
      <c r="AX81" s="308">
        <v>7.7799999999999994</v>
      </c>
      <c r="AY81" s="299">
        <v>14.004862642203568</v>
      </c>
      <c r="AZ81" s="298">
        <v>12.188304128989596</v>
      </c>
      <c r="BA81" s="298">
        <v>4.5299999999999994</v>
      </c>
      <c r="BB81" s="298">
        <v>7.658304128989597</v>
      </c>
      <c r="BC81" s="299">
        <v>15.022275353685556</v>
      </c>
      <c r="BD81" s="308">
        <v>5.4499999999999993</v>
      </c>
      <c r="BE81" s="299">
        <v>9.5722753536855567</v>
      </c>
      <c r="BF81" s="298">
        <v>8.9599985796932593</v>
      </c>
      <c r="BG81" s="298">
        <v>8.4500000000000011</v>
      </c>
      <c r="BH81" s="298">
        <v>0.50999857969325824</v>
      </c>
      <c r="BI81" s="299">
        <v>12.400894611296668</v>
      </c>
      <c r="BJ81" s="308">
        <v>12.39</v>
      </c>
      <c r="BK81" s="299">
        <v>1.0894611296667023E-2</v>
      </c>
      <c r="BL81" s="298">
        <v>6.55578305788982</v>
      </c>
      <c r="BM81" s="298">
        <v>4.8099999999999996</v>
      </c>
      <c r="BN81" s="298">
        <v>1.7457830578898204</v>
      </c>
      <c r="BO81" s="299">
        <v>28.493322951424364</v>
      </c>
      <c r="BP81" s="308">
        <v>5.49</v>
      </c>
      <c r="BQ81" s="299">
        <v>23.003322951424366</v>
      </c>
      <c r="BR81" s="300">
        <v>10.428948087572426</v>
      </c>
      <c r="BS81" s="300">
        <v>7.9799999999999995</v>
      </c>
      <c r="BT81" s="300">
        <v>2.4489480875724263</v>
      </c>
      <c r="BU81" s="299">
        <v>16.327875085094735</v>
      </c>
      <c r="BV81" s="308">
        <v>7.16</v>
      </c>
      <c r="BW81" s="299">
        <v>9.1678750850947353</v>
      </c>
      <c r="BX81" s="298">
        <v>7.2426672924038638</v>
      </c>
      <c r="BY81" s="298">
        <v>7.06</v>
      </c>
      <c r="BZ81" s="298">
        <v>0.18266729240386415</v>
      </c>
      <c r="CA81" s="299">
        <v>6.1911425300270135</v>
      </c>
      <c r="CB81" s="308">
        <v>7.06</v>
      </c>
      <c r="CC81" s="299">
        <v>-0.86885746997298607</v>
      </c>
      <c r="CD81" s="298">
        <v>12.391914109033658</v>
      </c>
      <c r="CE81" s="298">
        <v>6.1999999999999993</v>
      </c>
      <c r="CF81" s="298">
        <v>6.1919141090336591</v>
      </c>
      <c r="CG81" s="299">
        <v>10.69669939457934</v>
      </c>
      <c r="CH81" s="308">
        <v>6.8</v>
      </c>
      <c r="CI81" s="299">
        <v>3.8966993945793407</v>
      </c>
      <c r="CJ81" s="298">
        <v>11.387537000987571</v>
      </c>
      <c r="CK81" s="309">
        <v>7.1099999999999994</v>
      </c>
      <c r="CL81" s="298">
        <v>4.2775370009875715</v>
      </c>
      <c r="CM81" s="299">
        <v>7.1341537164466651</v>
      </c>
      <c r="CN81" s="308">
        <v>7.14</v>
      </c>
      <c r="CO81" s="299">
        <v>-5.846283553334608E-3</v>
      </c>
      <c r="CP81" s="298">
        <v>16.840928617751931</v>
      </c>
      <c r="CQ81" s="309">
        <v>7.4</v>
      </c>
      <c r="CR81" s="298">
        <v>9.4409286177519309</v>
      </c>
      <c r="CS81" s="299">
        <v>15.769465784824295</v>
      </c>
      <c r="CT81" s="308">
        <v>7.1499999999999995</v>
      </c>
      <c r="CU81" s="299">
        <v>8.6194657848242962</v>
      </c>
      <c r="CV81" s="298">
        <v>11.260271443632259</v>
      </c>
      <c r="CW81" s="309">
        <v>6.05</v>
      </c>
      <c r="CX81" s="298">
        <v>5.2102714436322595</v>
      </c>
      <c r="CY81" s="299">
        <v>6.9802173071565559</v>
      </c>
      <c r="CZ81" s="308">
        <v>7.14</v>
      </c>
      <c r="DA81" s="299">
        <v>-0.15978269284344382</v>
      </c>
      <c r="DB81" s="298">
        <v>14.86618318086653</v>
      </c>
      <c r="DC81" s="309">
        <v>7.6000000000000005</v>
      </c>
      <c r="DD81" s="298">
        <v>7.2661831808665296</v>
      </c>
      <c r="DE81" s="299">
        <v>13.740310281477331</v>
      </c>
      <c r="DF81" s="308">
        <v>4.76</v>
      </c>
      <c r="DG81" s="299">
        <v>8.9803102814773315</v>
      </c>
      <c r="DH81" s="298">
        <v>15.404562179948753</v>
      </c>
      <c r="DI81" s="309">
        <v>4.76</v>
      </c>
      <c r="DJ81" s="298">
        <v>10.644562179948753</v>
      </c>
      <c r="DK81" s="299">
        <v>7.169127591742094</v>
      </c>
      <c r="DL81" s="308">
        <v>6</v>
      </c>
      <c r="DM81" s="299">
        <v>1.169127591742094</v>
      </c>
      <c r="DN81" s="298">
        <v>11.102715772570237</v>
      </c>
      <c r="DO81" s="309">
        <v>7.8</v>
      </c>
      <c r="DP81" s="298">
        <v>3.3027157725702372</v>
      </c>
      <c r="DQ81" s="299">
        <v>14.323640641373213</v>
      </c>
      <c r="DR81" s="308">
        <v>5.7</v>
      </c>
      <c r="DS81" s="299">
        <v>8.6236406413732141</v>
      </c>
      <c r="DT81" s="298">
        <v>8.9900351572627564</v>
      </c>
      <c r="DU81" s="309">
        <v>5.2</v>
      </c>
      <c r="DV81" s="298">
        <v>3.7900351572627562</v>
      </c>
      <c r="DW81" s="299">
        <v>15.105224099915679</v>
      </c>
      <c r="DX81" s="308">
        <v>5.6999999999999993</v>
      </c>
      <c r="DY81" s="299">
        <v>9.4052240999156798</v>
      </c>
      <c r="DZ81" s="298">
        <v>11.74845439431736</v>
      </c>
      <c r="EA81" s="323">
        <v>6.05</v>
      </c>
      <c r="EB81" s="298">
        <v>5.69845439431736</v>
      </c>
      <c r="EC81" s="299">
        <v>12.092868344459905</v>
      </c>
      <c r="ED81" s="308">
        <v>4.5</v>
      </c>
      <c r="EE81" s="299">
        <v>7.5928683444599052</v>
      </c>
      <c r="EF81" s="298">
        <v>5.7594304983119393</v>
      </c>
      <c r="EG81" s="323">
        <v>4.3499999999999996</v>
      </c>
      <c r="EH81" s="298">
        <v>1.4094304983119397</v>
      </c>
      <c r="EI81" s="299">
        <v>8.4234338080542255</v>
      </c>
      <c r="EJ81" s="308">
        <v>3.7725</v>
      </c>
      <c r="EK81" s="299">
        <v>4.6509338080542255</v>
      </c>
      <c r="EL81" s="298">
        <v>30.172686107393908</v>
      </c>
      <c r="EM81" s="323">
        <v>0.33550371000000001</v>
      </c>
      <c r="EN81" s="298">
        <v>29.837182397393907</v>
      </c>
      <c r="EO81" s="299">
        <v>3.3525408862938222</v>
      </c>
      <c r="EP81" s="308">
        <v>0.47032963000000005</v>
      </c>
      <c r="EQ81" s="299">
        <v>2.882211256293822</v>
      </c>
      <c r="ER81" s="298">
        <v>4.1906809456003451</v>
      </c>
      <c r="ES81" s="323">
        <v>0.85350456999999991</v>
      </c>
      <c r="ET81" s="298">
        <v>3.337176375600345</v>
      </c>
      <c r="EU81" s="299">
        <v>2.1633017919712847</v>
      </c>
      <c r="EV81" s="308">
        <v>0.95150712000000004</v>
      </c>
      <c r="EW81" s="299">
        <v>1.2117946719712847</v>
      </c>
      <c r="EX81" s="301">
        <v>3.041346043867319</v>
      </c>
      <c r="EY81" s="324">
        <v>1.07723875</v>
      </c>
      <c r="EZ81" s="301">
        <v>1.964107293867319</v>
      </c>
      <c r="FA81" s="302">
        <v>3.4088346998901438</v>
      </c>
      <c r="FB81" s="311">
        <v>2.5349383400000001</v>
      </c>
      <c r="FC81" s="302">
        <v>0.87389635989014369</v>
      </c>
      <c r="FD81" s="301">
        <v>7.7407171804907327</v>
      </c>
      <c r="FE81" s="324">
        <v>1.8608453699999998</v>
      </c>
      <c r="FF81" s="301">
        <v>5.8798718104907328</v>
      </c>
      <c r="FG81" s="299">
        <v>5.5695459515742112</v>
      </c>
      <c r="FH81" s="308">
        <v>2.7373807499999998</v>
      </c>
      <c r="FI81" s="299">
        <v>2.8321652015742114</v>
      </c>
      <c r="FJ81" s="301">
        <v>1.1305966203015236</v>
      </c>
      <c r="FK81" s="324">
        <v>2.7641995100000001</v>
      </c>
      <c r="FL81" s="301">
        <v>-1.6336028896984764</v>
      </c>
      <c r="FM81" s="302">
        <v>0.62947655126079616</v>
      </c>
      <c r="FN81" s="311">
        <v>2.6992917099999998</v>
      </c>
      <c r="FO81" s="302">
        <v>-2.0698151587392037</v>
      </c>
      <c r="FP81" s="301">
        <v>0.12078991</v>
      </c>
      <c r="FQ81" s="324">
        <v>2.15472252</v>
      </c>
      <c r="FR81" s="301">
        <v>-2.0339326099999999</v>
      </c>
      <c r="FS81" s="302">
        <v>2.7659000000000001E-4</v>
      </c>
      <c r="FT81" s="311">
        <v>1.37167135</v>
      </c>
      <c r="FU81" s="302">
        <v>-1.37139476</v>
      </c>
    </row>
    <row r="82" spans="1:177" ht="13.9" customHeight="1" x14ac:dyDescent="0.2">
      <c r="A82" s="284"/>
      <c r="D82" s="272" t="s">
        <v>551</v>
      </c>
      <c r="J82" s="303">
        <v>0</v>
      </c>
      <c r="K82" s="303">
        <v>0</v>
      </c>
      <c r="L82" s="303">
        <v>0</v>
      </c>
      <c r="M82" s="308">
        <v>0</v>
      </c>
      <c r="N82" s="308">
        <v>0</v>
      </c>
      <c r="O82" s="308">
        <v>0</v>
      </c>
      <c r="P82" s="303">
        <v>0</v>
      </c>
      <c r="Q82" s="303">
        <v>0</v>
      </c>
      <c r="R82" s="303">
        <v>0</v>
      </c>
      <c r="S82" s="308">
        <v>0</v>
      </c>
      <c r="T82" s="308">
        <v>0</v>
      </c>
      <c r="U82" s="308">
        <v>0</v>
      </c>
      <c r="V82" s="303">
        <v>0</v>
      </c>
      <c r="W82" s="303">
        <v>0</v>
      </c>
      <c r="X82" s="303">
        <v>0</v>
      </c>
      <c r="Y82" s="308">
        <v>0</v>
      </c>
      <c r="Z82" s="308">
        <v>0</v>
      </c>
      <c r="AA82" s="308">
        <v>0</v>
      </c>
      <c r="AB82" s="303"/>
      <c r="AC82" s="303"/>
      <c r="AD82" s="303"/>
      <c r="AE82" s="308">
        <v>0</v>
      </c>
      <c r="AF82" s="308">
        <v>0</v>
      </c>
      <c r="AG82" s="308">
        <v>0</v>
      </c>
      <c r="AH82" s="303">
        <v>0</v>
      </c>
      <c r="AI82" s="303">
        <v>0</v>
      </c>
      <c r="AJ82" s="303">
        <v>0</v>
      </c>
      <c r="AK82" s="308">
        <v>0</v>
      </c>
      <c r="AL82" s="308">
        <v>0</v>
      </c>
      <c r="AM82" s="308">
        <v>0</v>
      </c>
      <c r="AN82" s="303">
        <v>0</v>
      </c>
      <c r="AO82" s="303">
        <v>0</v>
      </c>
      <c r="AP82" s="303">
        <v>0</v>
      </c>
      <c r="AQ82" s="308">
        <v>0</v>
      </c>
      <c r="AR82" s="308">
        <v>0</v>
      </c>
      <c r="AS82" s="308">
        <v>0</v>
      </c>
      <c r="AT82" s="303">
        <v>0</v>
      </c>
      <c r="AU82" s="303">
        <v>0</v>
      </c>
      <c r="AV82" s="303">
        <v>0</v>
      </c>
      <c r="AW82" s="308">
        <v>0</v>
      </c>
      <c r="AX82" s="308">
        <v>0</v>
      </c>
      <c r="AY82" s="308">
        <v>0</v>
      </c>
      <c r="AZ82" s="303">
        <v>0</v>
      </c>
      <c r="BA82" s="303">
        <v>0</v>
      </c>
      <c r="BB82" s="303">
        <v>0</v>
      </c>
      <c r="BC82" s="308">
        <v>0</v>
      </c>
      <c r="BD82" s="308">
        <v>0</v>
      </c>
      <c r="BE82" s="308">
        <v>0</v>
      </c>
      <c r="BF82" s="303">
        <v>0</v>
      </c>
      <c r="BG82" s="303">
        <v>0</v>
      </c>
      <c r="BH82" s="303">
        <v>0</v>
      </c>
      <c r="BI82" s="308">
        <v>0</v>
      </c>
      <c r="BJ82" s="308">
        <v>0</v>
      </c>
      <c r="BK82" s="308">
        <v>0</v>
      </c>
      <c r="BL82" s="303">
        <v>0</v>
      </c>
      <c r="BM82" s="303">
        <v>0</v>
      </c>
      <c r="BN82" s="303">
        <v>0</v>
      </c>
      <c r="BO82" s="308">
        <v>0</v>
      </c>
      <c r="BP82" s="308">
        <v>0</v>
      </c>
      <c r="BQ82" s="308">
        <v>0</v>
      </c>
      <c r="BR82" s="305">
        <v>0</v>
      </c>
      <c r="BS82" s="305">
        <v>0</v>
      </c>
      <c r="BT82" s="305">
        <v>0</v>
      </c>
      <c r="BU82" s="308">
        <v>0</v>
      </c>
      <c r="BV82" s="308">
        <v>0</v>
      </c>
      <c r="BW82" s="308">
        <v>0</v>
      </c>
      <c r="BX82" s="303">
        <v>0</v>
      </c>
      <c r="BY82" s="303">
        <v>0</v>
      </c>
      <c r="BZ82" s="303">
        <v>0</v>
      </c>
      <c r="CA82" s="308">
        <v>0</v>
      </c>
      <c r="CB82" s="308">
        <v>0</v>
      </c>
      <c r="CC82" s="308">
        <v>0</v>
      </c>
      <c r="CD82" s="303">
        <v>0</v>
      </c>
      <c r="CE82" s="303">
        <v>0</v>
      </c>
      <c r="CF82" s="303">
        <v>0</v>
      </c>
      <c r="CG82" s="308">
        <v>0</v>
      </c>
      <c r="CH82" s="308">
        <v>0</v>
      </c>
      <c r="CI82" s="308">
        <v>0</v>
      </c>
      <c r="CJ82" s="309">
        <v>0</v>
      </c>
      <c r="CK82" s="309">
        <v>0</v>
      </c>
      <c r="CL82" s="309">
        <v>0</v>
      </c>
      <c r="CM82" s="308">
        <v>0</v>
      </c>
      <c r="CN82" s="308">
        <v>0</v>
      </c>
      <c r="CO82" s="308">
        <v>0</v>
      </c>
      <c r="CP82" s="309">
        <v>0</v>
      </c>
      <c r="CQ82" s="309">
        <v>0</v>
      </c>
      <c r="CR82" s="309">
        <v>0</v>
      </c>
      <c r="CS82" s="308">
        <v>0</v>
      </c>
      <c r="CT82" s="308">
        <v>0</v>
      </c>
      <c r="CU82" s="308">
        <v>0</v>
      </c>
      <c r="CV82" s="309">
        <v>0</v>
      </c>
      <c r="CW82" s="309">
        <v>0</v>
      </c>
      <c r="CX82" s="309">
        <v>0</v>
      </c>
      <c r="CY82" s="308">
        <v>0</v>
      </c>
      <c r="CZ82" s="308">
        <v>0</v>
      </c>
      <c r="DA82" s="308">
        <v>0</v>
      </c>
      <c r="DB82" s="309">
        <v>0</v>
      </c>
      <c r="DC82" s="309">
        <v>0</v>
      </c>
      <c r="DD82" s="309">
        <v>0</v>
      </c>
      <c r="DE82" s="308">
        <v>0</v>
      </c>
      <c r="DF82" s="308">
        <v>0</v>
      </c>
      <c r="DG82" s="308">
        <v>0</v>
      </c>
      <c r="DH82" s="309">
        <v>0</v>
      </c>
      <c r="DI82" s="309">
        <v>0</v>
      </c>
      <c r="DJ82" s="309">
        <v>0</v>
      </c>
      <c r="DK82" s="308">
        <v>0</v>
      </c>
      <c r="DL82" s="308">
        <v>0</v>
      </c>
      <c r="DM82" s="308">
        <v>0</v>
      </c>
      <c r="DN82" s="309">
        <v>0</v>
      </c>
      <c r="DO82" s="309">
        <v>0</v>
      </c>
      <c r="DP82" s="309">
        <v>0</v>
      </c>
      <c r="DQ82" s="308">
        <v>0</v>
      </c>
      <c r="DR82" s="308">
        <v>0</v>
      </c>
      <c r="DS82" s="308">
        <v>0</v>
      </c>
      <c r="DT82" s="309">
        <v>0</v>
      </c>
      <c r="DU82" s="309">
        <v>0</v>
      </c>
      <c r="DV82" s="309">
        <v>0</v>
      </c>
      <c r="DW82" s="308">
        <v>0</v>
      </c>
      <c r="DX82" s="308">
        <v>0</v>
      </c>
      <c r="DY82" s="308">
        <v>0</v>
      </c>
      <c r="DZ82" s="309">
        <v>0</v>
      </c>
      <c r="EA82" s="309">
        <v>0</v>
      </c>
      <c r="EB82" s="309">
        <v>0</v>
      </c>
      <c r="EC82" s="308">
        <v>0</v>
      </c>
      <c r="ED82" s="308">
        <v>0</v>
      </c>
      <c r="EE82" s="308">
        <v>0</v>
      </c>
      <c r="EF82" s="309">
        <v>0</v>
      </c>
      <c r="EG82" s="309">
        <v>0</v>
      </c>
      <c r="EH82" s="309">
        <v>0</v>
      </c>
      <c r="EI82" s="308">
        <v>0</v>
      </c>
      <c r="EJ82" s="308">
        <v>0</v>
      </c>
      <c r="EK82" s="308">
        <v>0</v>
      </c>
      <c r="EL82" s="309">
        <v>0</v>
      </c>
      <c r="EM82" s="309">
        <v>0</v>
      </c>
      <c r="EN82" s="309">
        <v>0</v>
      </c>
      <c r="EO82" s="308">
        <v>0</v>
      </c>
      <c r="EP82" s="308">
        <v>0</v>
      </c>
      <c r="EQ82" s="308">
        <v>0</v>
      </c>
      <c r="ER82" s="309">
        <v>0</v>
      </c>
      <c r="ES82" s="309">
        <v>0</v>
      </c>
      <c r="ET82" s="309">
        <v>0</v>
      </c>
      <c r="EU82" s="308">
        <v>0</v>
      </c>
      <c r="EV82" s="308">
        <v>0</v>
      </c>
      <c r="EW82" s="308">
        <v>0</v>
      </c>
      <c r="EX82" s="310">
        <v>0</v>
      </c>
      <c r="EY82" s="310">
        <v>0</v>
      </c>
      <c r="EZ82" s="310">
        <v>0</v>
      </c>
      <c r="FA82" s="311">
        <v>0</v>
      </c>
      <c r="FB82" s="311">
        <v>0</v>
      </c>
      <c r="FC82" s="311">
        <v>0</v>
      </c>
      <c r="FD82" s="310">
        <v>0</v>
      </c>
      <c r="FE82" s="310">
        <v>0</v>
      </c>
      <c r="FF82" s="310">
        <v>0</v>
      </c>
      <c r="FG82" s="308">
        <v>0</v>
      </c>
      <c r="FH82" s="308">
        <v>0</v>
      </c>
      <c r="FI82" s="308">
        <v>0</v>
      </c>
      <c r="FJ82" s="310">
        <v>0</v>
      </c>
      <c r="FK82" s="310">
        <v>0</v>
      </c>
      <c r="FL82" s="310">
        <v>0</v>
      </c>
      <c r="FM82" s="311">
        <v>0</v>
      </c>
      <c r="FN82" s="311">
        <v>0</v>
      </c>
      <c r="FO82" s="311">
        <v>0</v>
      </c>
      <c r="FP82" s="310">
        <v>0</v>
      </c>
      <c r="FQ82" s="310">
        <v>0</v>
      </c>
      <c r="FR82" s="310">
        <v>0</v>
      </c>
      <c r="FS82" s="311">
        <v>0</v>
      </c>
      <c r="FT82" s="311">
        <v>0</v>
      </c>
      <c r="FU82" s="311">
        <v>0</v>
      </c>
    </row>
    <row r="83" spans="1:177" ht="13.9" customHeight="1" x14ac:dyDescent="0.2">
      <c r="A83" s="284"/>
      <c r="D83" s="272" t="s">
        <v>552</v>
      </c>
      <c r="J83" s="303">
        <v>20.774338097661737</v>
      </c>
      <c r="K83" s="303">
        <v>6.1080420364299854</v>
      </c>
      <c r="L83" s="303">
        <v>14.666296061231751</v>
      </c>
      <c r="M83" s="304">
        <v>42.075820874292262</v>
      </c>
      <c r="N83" s="308">
        <v>0.40298128624523871</v>
      </c>
      <c r="O83" s="304">
        <v>41.672839588047026</v>
      </c>
      <c r="P83" s="303">
        <v>44.893670115750197</v>
      </c>
      <c r="Q83" s="303">
        <v>1.0080278089517765</v>
      </c>
      <c r="R83" s="303">
        <v>43.885642306798424</v>
      </c>
      <c r="S83" s="304">
        <v>38.081206084022071</v>
      </c>
      <c r="T83" s="308">
        <v>7.9631131072814725</v>
      </c>
      <c r="U83" s="304">
        <v>30.118092976740598</v>
      </c>
      <c r="V83" s="303">
        <v>14.034073031298512</v>
      </c>
      <c r="W83" s="303">
        <v>8.6241259432101032</v>
      </c>
      <c r="X83" s="303">
        <v>5.4099470880884084</v>
      </c>
      <c r="Y83" s="304">
        <v>22.79696458472505</v>
      </c>
      <c r="Z83" s="308">
        <v>0.58265629515190775</v>
      </c>
      <c r="AA83" s="304">
        <v>22.214308289573143</v>
      </c>
      <c r="AB83" s="303">
        <v>19.412375456290636</v>
      </c>
      <c r="AC83" s="303">
        <v>1.9471478208374111</v>
      </c>
      <c r="AD83" s="303">
        <v>17.465227635453225</v>
      </c>
      <c r="AE83" s="304">
        <v>33.311784316439883</v>
      </c>
      <c r="AF83" s="308">
        <v>7.516244410460188</v>
      </c>
      <c r="AG83" s="304">
        <v>25.795539905979695</v>
      </c>
      <c r="AH83" s="303">
        <v>8.516291901596194</v>
      </c>
      <c r="AI83" s="303">
        <v>4.57</v>
      </c>
      <c r="AJ83" s="303">
        <v>3.9462919015961937</v>
      </c>
      <c r="AK83" s="304">
        <v>42.357585889282944</v>
      </c>
      <c r="AL83" s="308">
        <v>4.99</v>
      </c>
      <c r="AM83" s="304">
        <v>37.367585889282942</v>
      </c>
      <c r="AN83" s="303">
        <v>8.6633139088523272</v>
      </c>
      <c r="AO83" s="303">
        <v>2.0099999999999998</v>
      </c>
      <c r="AP83" s="303">
        <v>6.6533139088523274</v>
      </c>
      <c r="AQ83" s="304">
        <v>13.287564612117407</v>
      </c>
      <c r="AR83" s="308">
        <v>3</v>
      </c>
      <c r="AS83" s="304">
        <v>10.287564612117407</v>
      </c>
      <c r="AT83" s="303">
        <v>21.683086993771166</v>
      </c>
      <c r="AU83" s="303">
        <v>6.62</v>
      </c>
      <c r="AV83" s="303">
        <v>15.063086993771165</v>
      </c>
      <c r="AW83" s="304">
        <v>21.784862642203567</v>
      </c>
      <c r="AX83" s="308">
        <v>7.7799999999999994</v>
      </c>
      <c r="AY83" s="304">
        <v>14.004862642203568</v>
      </c>
      <c r="AZ83" s="303">
        <v>12.188304128989596</v>
      </c>
      <c r="BA83" s="303">
        <v>4.5299999999999994</v>
      </c>
      <c r="BB83" s="303">
        <v>7.658304128989597</v>
      </c>
      <c r="BC83" s="304">
        <v>15.022275353685556</v>
      </c>
      <c r="BD83" s="308">
        <v>5.4499999999999993</v>
      </c>
      <c r="BE83" s="304">
        <v>9.5722753536855567</v>
      </c>
      <c r="BF83" s="303">
        <v>8.9599985796932593</v>
      </c>
      <c r="BG83" s="303">
        <v>8.4500000000000011</v>
      </c>
      <c r="BH83" s="303">
        <v>0.50999857969325824</v>
      </c>
      <c r="BI83" s="304">
        <v>12.400894611296668</v>
      </c>
      <c r="BJ83" s="308">
        <v>12.39</v>
      </c>
      <c r="BK83" s="304">
        <v>1.0894611296667023E-2</v>
      </c>
      <c r="BL83" s="303">
        <v>6.55578305788982</v>
      </c>
      <c r="BM83" s="303">
        <v>4.8099999999999996</v>
      </c>
      <c r="BN83" s="303">
        <v>1.7457830578898204</v>
      </c>
      <c r="BO83" s="304">
        <v>28.493322951424364</v>
      </c>
      <c r="BP83" s="308">
        <v>5.49</v>
      </c>
      <c r="BQ83" s="304">
        <v>23.003322951424366</v>
      </c>
      <c r="BR83" s="305">
        <v>10.428948087572426</v>
      </c>
      <c r="BS83" s="305">
        <v>7.9799999999999995</v>
      </c>
      <c r="BT83" s="305">
        <v>2.4489480875724263</v>
      </c>
      <c r="BU83" s="304">
        <v>16.327875085094735</v>
      </c>
      <c r="BV83" s="308">
        <v>7.16</v>
      </c>
      <c r="BW83" s="304">
        <v>9.1678750850947353</v>
      </c>
      <c r="BX83" s="303">
        <v>7.2426672924038638</v>
      </c>
      <c r="BY83" s="303">
        <v>7.06</v>
      </c>
      <c r="BZ83" s="303">
        <v>0.18266729240386415</v>
      </c>
      <c r="CA83" s="304">
        <v>6.1911425300270135</v>
      </c>
      <c r="CB83" s="308">
        <v>7.06</v>
      </c>
      <c r="CC83" s="304">
        <v>-0.86885746997298607</v>
      </c>
      <c r="CD83" s="303">
        <v>12.391914109033658</v>
      </c>
      <c r="CE83" s="303">
        <v>6.1999999999999993</v>
      </c>
      <c r="CF83" s="303">
        <v>6.1919141090336591</v>
      </c>
      <c r="CG83" s="304">
        <v>10.69669939457934</v>
      </c>
      <c r="CH83" s="308">
        <v>6.8</v>
      </c>
      <c r="CI83" s="304">
        <v>3.8966993945793407</v>
      </c>
      <c r="CJ83" s="303">
        <v>11.387537000987571</v>
      </c>
      <c r="CK83" s="309">
        <v>7.1099999999999994</v>
      </c>
      <c r="CL83" s="303">
        <v>4.2775370009875715</v>
      </c>
      <c r="CM83" s="304">
        <v>7.1341537164466651</v>
      </c>
      <c r="CN83" s="308">
        <v>7.14</v>
      </c>
      <c r="CO83" s="304">
        <v>-5.846283553334608E-3</v>
      </c>
      <c r="CP83" s="303">
        <v>16.840928617751931</v>
      </c>
      <c r="CQ83" s="309">
        <v>7.4</v>
      </c>
      <c r="CR83" s="303">
        <v>9.4409286177519309</v>
      </c>
      <c r="CS83" s="304">
        <v>15.769465784824295</v>
      </c>
      <c r="CT83" s="308">
        <v>7.1499999999999995</v>
      </c>
      <c r="CU83" s="304">
        <v>8.6194657848242962</v>
      </c>
      <c r="CV83" s="303">
        <v>11.260271443632259</v>
      </c>
      <c r="CW83" s="309">
        <v>6.05</v>
      </c>
      <c r="CX83" s="303">
        <v>5.2102714436322595</v>
      </c>
      <c r="CY83" s="304">
        <v>6.9802173071565559</v>
      </c>
      <c r="CZ83" s="308">
        <v>7.14</v>
      </c>
      <c r="DA83" s="304">
        <v>-0.15978269284344382</v>
      </c>
      <c r="DB83" s="303">
        <v>14.86618318086653</v>
      </c>
      <c r="DC83" s="309">
        <v>7.6000000000000005</v>
      </c>
      <c r="DD83" s="303">
        <v>7.2661831808665296</v>
      </c>
      <c r="DE83" s="304">
        <v>13.740310281477331</v>
      </c>
      <c r="DF83" s="308">
        <v>4.76</v>
      </c>
      <c r="DG83" s="304">
        <v>8.9803102814773315</v>
      </c>
      <c r="DH83" s="303">
        <v>15.404562179948753</v>
      </c>
      <c r="DI83" s="309">
        <v>4.76</v>
      </c>
      <c r="DJ83" s="303">
        <v>10.644562179948753</v>
      </c>
      <c r="DK83" s="304">
        <v>7.169127591742094</v>
      </c>
      <c r="DL83" s="308">
        <v>6</v>
      </c>
      <c r="DM83" s="304">
        <v>1.169127591742094</v>
      </c>
      <c r="DN83" s="303">
        <v>11.102715772570237</v>
      </c>
      <c r="DO83" s="309">
        <v>7.8</v>
      </c>
      <c r="DP83" s="303">
        <v>3.3027157725702372</v>
      </c>
      <c r="DQ83" s="304">
        <v>14.323640641373213</v>
      </c>
      <c r="DR83" s="308">
        <v>5.7</v>
      </c>
      <c r="DS83" s="304">
        <v>8.6236406413732141</v>
      </c>
      <c r="DT83" s="303">
        <v>8.9900351572627564</v>
      </c>
      <c r="DU83" s="309">
        <v>5.2</v>
      </c>
      <c r="DV83" s="303">
        <v>3.7900351572627562</v>
      </c>
      <c r="DW83" s="304">
        <v>15.105224099915679</v>
      </c>
      <c r="DX83" s="308">
        <v>5.6999999999999993</v>
      </c>
      <c r="DY83" s="304">
        <v>9.4052240999156798</v>
      </c>
      <c r="DZ83" s="303">
        <v>11.74845439431736</v>
      </c>
      <c r="EA83" s="309">
        <v>6.05</v>
      </c>
      <c r="EB83" s="303">
        <v>5.69845439431736</v>
      </c>
      <c r="EC83" s="304">
        <v>12.092868344459905</v>
      </c>
      <c r="ED83" s="308">
        <v>4.5</v>
      </c>
      <c r="EE83" s="304">
        <v>7.5928683444599052</v>
      </c>
      <c r="EF83" s="303">
        <v>5.7594304983119393</v>
      </c>
      <c r="EG83" s="309">
        <v>4.3499999999999996</v>
      </c>
      <c r="EH83" s="303">
        <v>1.4094304983119397</v>
      </c>
      <c r="EI83" s="304">
        <v>8.4234338080542255</v>
      </c>
      <c r="EJ83" s="308">
        <v>3.7725</v>
      </c>
      <c r="EK83" s="304">
        <v>4.6509338080542255</v>
      </c>
      <c r="EL83" s="303">
        <v>30.172686107393908</v>
      </c>
      <c r="EM83" s="309">
        <v>0.33550371000000001</v>
      </c>
      <c r="EN83" s="303">
        <v>29.837182397393907</v>
      </c>
      <c r="EO83" s="304">
        <v>3.3525408862938222</v>
      </c>
      <c r="EP83" s="308">
        <v>0.47032963000000005</v>
      </c>
      <c r="EQ83" s="304">
        <v>2.882211256293822</v>
      </c>
      <c r="ER83" s="303">
        <v>4.1906809456003451</v>
      </c>
      <c r="ES83" s="309">
        <v>0.85350456999999991</v>
      </c>
      <c r="ET83" s="303">
        <v>3.337176375600345</v>
      </c>
      <c r="EU83" s="304">
        <v>2.1633017919712847</v>
      </c>
      <c r="EV83" s="308">
        <v>0.95150712000000004</v>
      </c>
      <c r="EW83" s="304">
        <v>1.2117946719712847</v>
      </c>
      <c r="EX83" s="306">
        <v>3.041346043867319</v>
      </c>
      <c r="EY83" s="310">
        <v>1.07723875</v>
      </c>
      <c r="EZ83" s="306">
        <v>1.964107293867319</v>
      </c>
      <c r="FA83" s="307">
        <v>3.4088346998901438</v>
      </c>
      <c r="FB83" s="311">
        <v>2.5349383400000001</v>
      </c>
      <c r="FC83" s="307">
        <v>0.87389635989014369</v>
      </c>
      <c r="FD83" s="306">
        <v>7.7407171804907327</v>
      </c>
      <c r="FE83" s="310">
        <v>1.8608453699999998</v>
      </c>
      <c r="FF83" s="306">
        <v>5.8798718104907328</v>
      </c>
      <c r="FG83" s="304">
        <v>5.5695459515742112</v>
      </c>
      <c r="FH83" s="308">
        <v>2.7373807499999998</v>
      </c>
      <c r="FI83" s="304">
        <v>2.8321652015742114</v>
      </c>
      <c r="FJ83" s="306">
        <v>1.1305966203015236</v>
      </c>
      <c r="FK83" s="310">
        <v>2.7641995100000001</v>
      </c>
      <c r="FL83" s="306">
        <v>-1.6336028896984764</v>
      </c>
      <c r="FM83" s="307">
        <v>0.62947655126079616</v>
      </c>
      <c r="FN83" s="311">
        <v>2.6992917099999998</v>
      </c>
      <c r="FO83" s="307">
        <v>-2.0698151587392037</v>
      </c>
      <c r="FP83" s="306">
        <v>0.12078991</v>
      </c>
      <c r="FQ83" s="310">
        <v>2.15472252</v>
      </c>
      <c r="FR83" s="306">
        <v>-2.0339326099999999</v>
      </c>
      <c r="FS83" s="307">
        <v>2.7659000000000001E-4</v>
      </c>
      <c r="FT83" s="311">
        <v>1.37167135</v>
      </c>
      <c r="FU83" s="307">
        <v>-1.37139476</v>
      </c>
    </row>
    <row r="84" spans="1:177" ht="13.9" customHeight="1" x14ac:dyDescent="0.2">
      <c r="A84" s="284"/>
      <c r="E84" s="272" t="s">
        <v>553</v>
      </c>
      <c r="J84" s="303">
        <v>10.078448759865502</v>
      </c>
      <c r="K84" s="303">
        <v>0</v>
      </c>
      <c r="L84" s="303">
        <v>10.078448759865502</v>
      </c>
      <c r="M84" s="304">
        <v>29.655577343016109</v>
      </c>
      <c r="N84" s="308">
        <v>0</v>
      </c>
      <c r="O84" s="304">
        <v>29.655577343016109</v>
      </c>
      <c r="P84" s="303">
        <v>30.130737570885234</v>
      </c>
      <c r="Q84" s="303">
        <v>0</v>
      </c>
      <c r="R84" s="303">
        <v>30.130737570885234</v>
      </c>
      <c r="S84" s="304">
        <v>28.588363761803809</v>
      </c>
      <c r="T84" s="308">
        <v>0</v>
      </c>
      <c r="U84" s="304">
        <v>28.588363761803809</v>
      </c>
      <c r="V84" s="303">
        <v>3.6496654587018535</v>
      </c>
      <c r="W84" s="303">
        <v>0</v>
      </c>
      <c r="X84" s="303">
        <v>3.6496654587018535</v>
      </c>
      <c r="Y84" s="304">
        <v>9.3075457404284698</v>
      </c>
      <c r="Z84" s="308">
        <v>0</v>
      </c>
      <c r="AA84" s="304">
        <v>9.3075457404284698</v>
      </c>
      <c r="AB84" s="303">
        <v>3.168244701668685</v>
      </c>
      <c r="AC84" s="303"/>
      <c r="AD84" s="303">
        <v>3.168244701668685</v>
      </c>
      <c r="AE84" s="304">
        <v>22.76074818367259</v>
      </c>
      <c r="AF84" s="308">
        <v>0</v>
      </c>
      <c r="AG84" s="304">
        <v>22.76074818367259</v>
      </c>
      <c r="AH84" s="303">
        <v>3.4962919015961953</v>
      </c>
      <c r="AI84" s="303">
        <v>0</v>
      </c>
      <c r="AJ84" s="303">
        <v>3.4962919015961953</v>
      </c>
      <c r="AK84" s="304">
        <v>36.917585889282947</v>
      </c>
      <c r="AL84" s="308">
        <v>0</v>
      </c>
      <c r="AM84" s="304">
        <v>36.917585889282947</v>
      </c>
      <c r="AN84" s="303">
        <v>3.6433139088523272</v>
      </c>
      <c r="AO84" s="303">
        <v>0</v>
      </c>
      <c r="AP84" s="303">
        <v>3.6433139088523272</v>
      </c>
      <c r="AQ84" s="304">
        <v>7.8475646121174059</v>
      </c>
      <c r="AR84" s="308">
        <v>0</v>
      </c>
      <c r="AS84" s="304">
        <v>7.8475646121174059</v>
      </c>
      <c r="AT84" s="303">
        <v>16.373086993771167</v>
      </c>
      <c r="AU84" s="303">
        <v>0</v>
      </c>
      <c r="AV84" s="303">
        <v>16.373086993771167</v>
      </c>
      <c r="AW84" s="304">
        <v>16.334862642203568</v>
      </c>
      <c r="AX84" s="308">
        <v>0</v>
      </c>
      <c r="AY84" s="304">
        <v>16.334862642203568</v>
      </c>
      <c r="AZ84" s="303">
        <v>7.4383041289895973</v>
      </c>
      <c r="BA84" s="303">
        <v>0</v>
      </c>
      <c r="BB84" s="303">
        <v>7.4383041289895973</v>
      </c>
      <c r="BC84" s="304">
        <v>9.5122753536855562</v>
      </c>
      <c r="BD84" s="308">
        <v>0</v>
      </c>
      <c r="BE84" s="304">
        <v>9.5122753536855562</v>
      </c>
      <c r="BF84" s="303">
        <v>3.4499985796932577</v>
      </c>
      <c r="BG84" s="303">
        <v>0</v>
      </c>
      <c r="BH84" s="303">
        <v>3.4499985796932577</v>
      </c>
      <c r="BI84" s="304">
        <v>6.7708946112966677</v>
      </c>
      <c r="BJ84" s="308">
        <v>0</v>
      </c>
      <c r="BK84" s="304">
        <v>6.7708946112966677</v>
      </c>
      <c r="BL84" s="303">
        <v>1.5757830578898195</v>
      </c>
      <c r="BM84" s="303">
        <v>0</v>
      </c>
      <c r="BN84" s="303">
        <v>1.5757830578898195</v>
      </c>
      <c r="BO84" s="304">
        <v>23.423322951424364</v>
      </c>
      <c r="BP84" s="308">
        <v>0</v>
      </c>
      <c r="BQ84" s="304">
        <v>23.423322951424364</v>
      </c>
      <c r="BR84" s="305">
        <v>5.4389480875724265</v>
      </c>
      <c r="BS84" s="305">
        <v>0</v>
      </c>
      <c r="BT84" s="305">
        <v>5.4389480875724265</v>
      </c>
      <c r="BU84" s="304">
        <v>11.347875085094735</v>
      </c>
      <c r="BV84" s="308">
        <v>0</v>
      </c>
      <c r="BW84" s="304">
        <v>11.347875085094735</v>
      </c>
      <c r="BX84" s="303">
        <v>1.9426672924038644</v>
      </c>
      <c r="BY84" s="303">
        <v>0</v>
      </c>
      <c r="BZ84" s="303">
        <v>1.9426672924038644</v>
      </c>
      <c r="CA84" s="304">
        <v>1.1911425300270131</v>
      </c>
      <c r="CB84" s="308">
        <v>0</v>
      </c>
      <c r="CC84" s="304">
        <v>1.1911425300270131</v>
      </c>
      <c r="CD84" s="303">
        <v>5.4919141090336581</v>
      </c>
      <c r="CE84" s="303">
        <v>0</v>
      </c>
      <c r="CF84" s="303">
        <v>5.4919141090336581</v>
      </c>
      <c r="CG84" s="304">
        <v>4.0766993945793413</v>
      </c>
      <c r="CH84" s="308">
        <v>0</v>
      </c>
      <c r="CI84" s="304">
        <v>4.0766993945793413</v>
      </c>
      <c r="CJ84" s="303">
        <v>3.987537000987571</v>
      </c>
      <c r="CK84" s="309">
        <v>0</v>
      </c>
      <c r="CL84" s="303">
        <v>3.987537000987571</v>
      </c>
      <c r="CM84" s="304">
        <v>0.53415371644666509</v>
      </c>
      <c r="CN84" s="308">
        <v>0</v>
      </c>
      <c r="CO84" s="304">
        <v>0.53415371644666509</v>
      </c>
      <c r="CP84" s="303">
        <v>7.9409286177519318</v>
      </c>
      <c r="CQ84" s="309">
        <v>0</v>
      </c>
      <c r="CR84" s="303">
        <v>7.9409286177519318</v>
      </c>
      <c r="CS84" s="304">
        <v>5.869465784824297</v>
      </c>
      <c r="CT84" s="308">
        <v>0</v>
      </c>
      <c r="CU84" s="304">
        <v>5.869465784824297</v>
      </c>
      <c r="CV84" s="303">
        <v>2.2302714436322608</v>
      </c>
      <c r="CW84" s="309">
        <v>0</v>
      </c>
      <c r="CX84" s="303">
        <v>2.2302714436322608</v>
      </c>
      <c r="CY84" s="304">
        <v>0.38021730715655611</v>
      </c>
      <c r="CZ84" s="308">
        <v>0</v>
      </c>
      <c r="DA84" s="304">
        <v>0.38021730715655611</v>
      </c>
      <c r="DB84" s="303">
        <v>6.2761831808665303</v>
      </c>
      <c r="DC84" s="309">
        <v>0</v>
      </c>
      <c r="DD84" s="303">
        <v>6.2761831808665303</v>
      </c>
      <c r="DE84" s="304">
        <v>7.1403102814773316</v>
      </c>
      <c r="DF84" s="308"/>
      <c r="DG84" s="304">
        <v>7.1403102814773316</v>
      </c>
      <c r="DH84" s="303">
        <v>8.6545621799487531</v>
      </c>
      <c r="DI84" s="309">
        <v>0</v>
      </c>
      <c r="DJ84" s="303">
        <v>8.6545621799487531</v>
      </c>
      <c r="DK84" s="304">
        <v>1.7691275917420939</v>
      </c>
      <c r="DL84" s="308">
        <v>0</v>
      </c>
      <c r="DM84" s="304">
        <v>1.7691275917420939</v>
      </c>
      <c r="DN84" s="303">
        <v>2.8027157725702359</v>
      </c>
      <c r="DO84" s="309">
        <v>0</v>
      </c>
      <c r="DP84" s="303">
        <v>2.8027157725702359</v>
      </c>
      <c r="DQ84" s="304">
        <v>3.3236406413732125</v>
      </c>
      <c r="DR84" s="308">
        <v>0</v>
      </c>
      <c r="DS84" s="304">
        <v>3.3236406413732125</v>
      </c>
      <c r="DT84" s="303">
        <v>0.59003515726275557</v>
      </c>
      <c r="DU84" s="309">
        <v>0</v>
      </c>
      <c r="DV84" s="303">
        <v>0.59003515726275557</v>
      </c>
      <c r="DW84" s="304">
        <v>4.5052240999156794</v>
      </c>
      <c r="DX84" s="308">
        <v>0</v>
      </c>
      <c r="DY84" s="304">
        <v>4.5052240999156794</v>
      </c>
      <c r="DZ84" s="303">
        <v>0.54845439431736054</v>
      </c>
      <c r="EA84" s="309">
        <v>0</v>
      </c>
      <c r="EB84" s="303">
        <v>0.54845439431736054</v>
      </c>
      <c r="EC84" s="304">
        <v>3.8928683444599064</v>
      </c>
      <c r="ED84" s="308">
        <v>0</v>
      </c>
      <c r="EE84" s="304">
        <v>3.8928683444599064</v>
      </c>
      <c r="EF84" s="303">
        <v>5.9430498311938793E-2</v>
      </c>
      <c r="EG84" s="309">
        <v>0</v>
      </c>
      <c r="EH84" s="303">
        <v>5.9430498311938793E-2</v>
      </c>
      <c r="EI84" s="304">
        <v>1.7234338080542266</v>
      </c>
      <c r="EJ84" s="308">
        <v>0</v>
      </c>
      <c r="EK84" s="304">
        <v>1.7234338080542266</v>
      </c>
      <c r="EL84" s="303">
        <v>28.218227107393908</v>
      </c>
      <c r="EM84" s="309">
        <v>0</v>
      </c>
      <c r="EN84" s="303">
        <v>28.218227107393908</v>
      </c>
      <c r="EO84" s="304">
        <v>2.5276138662938221</v>
      </c>
      <c r="EP84" s="308">
        <v>0</v>
      </c>
      <c r="EQ84" s="304">
        <v>2.5276138662938221</v>
      </c>
      <c r="ER84" s="303">
        <v>3.9465653156003446</v>
      </c>
      <c r="ES84" s="309">
        <v>0</v>
      </c>
      <c r="ET84" s="303">
        <v>3.9465653156003446</v>
      </c>
      <c r="EU84" s="304">
        <v>1.7460336519712847</v>
      </c>
      <c r="EV84" s="308">
        <v>0</v>
      </c>
      <c r="EW84" s="304">
        <v>1.7460336519712847</v>
      </c>
      <c r="EX84" s="306">
        <v>3.0154461938673189</v>
      </c>
      <c r="EY84" s="310">
        <v>0</v>
      </c>
      <c r="EZ84" s="306">
        <v>3.0154461938673189</v>
      </c>
      <c r="FA84" s="307">
        <v>3.4068886398901439</v>
      </c>
      <c r="FB84" s="311">
        <v>0</v>
      </c>
      <c r="FC84" s="307">
        <v>3.4068886398901439</v>
      </c>
      <c r="FD84" s="306">
        <v>6.4033621304907324</v>
      </c>
      <c r="FE84" s="310">
        <v>0</v>
      </c>
      <c r="FF84" s="306">
        <v>6.4033621304907324</v>
      </c>
      <c r="FG84" s="304">
        <v>5.4227101215742115</v>
      </c>
      <c r="FH84" s="308">
        <v>0</v>
      </c>
      <c r="FI84" s="304">
        <v>5.4227101215742115</v>
      </c>
      <c r="FJ84" s="306">
        <v>0.97640219030152353</v>
      </c>
      <c r="FK84" s="310">
        <v>0</v>
      </c>
      <c r="FL84" s="306">
        <v>0.97640219030152353</v>
      </c>
      <c r="FM84" s="307">
        <v>0.54990696126079619</v>
      </c>
      <c r="FN84" s="311">
        <v>0</v>
      </c>
      <c r="FO84" s="307">
        <v>0.54990696126079619</v>
      </c>
      <c r="FP84" s="306">
        <v>0</v>
      </c>
      <c r="FQ84" s="310">
        <v>0</v>
      </c>
      <c r="FR84" s="306">
        <v>0</v>
      </c>
      <c r="FS84" s="307">
        <v>0</v>
      </c>
      <c r="FT84" s="311">
        <v>0</v>
      </c>
      <c r="FU84" s="307">
        <v>0</v>
      </c>
    </row>
    <row r="85" spans="1:177" ht="13.9" customHeight="1" x14ac:dyDescent="0.2">
      <c r="A85" s="284"/>
      <c r="E85" s="272" t="s">
        <v>545</v>
      </c>
      <c r="J85" s="303">
        <v>10.695889337796235</v>
      </c>
      <c r="K85" s="303">
        <v>6.1080420364299854</v>
      </c>
      <c r="L85" s="303">
        <v>4.5878473013662493</v>
      </c>
      <c r="M85" s="304">
        <v>12.420243531276149</v>
      </c>
      <c r="N85" s="308">
        <v>0.40298128624523871</v>
      </c>
      <c r="O85" s="304">
        <v>12.01726224503091</v>
      </c>
      <c r="P85" s="303">
        <v>14.76293254486496</v>
      </c>
      <c r="Q85" s="303">
        <v>1.0080278089517765</v>
      </c>
      <c r="R85" s="303">
        <v>13.754904735913183</v>
      </c>
      <c r="S85" s="304">
        <v>9.4928423222182658</v>
      </c>
      <c r="T85" s="308">
        <v>7.9631131072814725</v>
      </c>
      <c r="U85" s="304">
        <v>1.5297292149367934</v>
      </c>
      <c r="V85" s="303">
        <v>10.384407572596658</v>
      </c>
      <c r="W85" s="303">
        <v>8.6241259432101032</v>
      </c>
      <c r="X85" s="303">
        <v>1.7602816293865544</v>
      </c>
      <c r="Y85" s="304">
        <v>13.48941884429658</v>
      </c>
      <c r="Z85" s="308">
        <v>0.58265629515190775</v>
      </c>
      <c r="AA85" s="304">
        <v>12.906762549144672</v>
      </c>
      <c r="AB85" s="303">
        <v>16.244130754621953</v>
      </c>
      <c r="AC85" s="303">
        <v>1.9471478208374111</v>
      </c>
      <c r="AD85" s="303">
        <v>14.296982933784541</v>
      </c>
      <c r="AE85" s="304">
        <v>10.551036132767297</v>
      </c>
      <c r="AF85" s="308">
        <v>7.516244410460188</v>
      </c>
      <c r="AG85" s="304">
        <v>3.0347917223071095</v>
      </c>
      <c r="AH85" s="303">
        <v>5.0199999999999996</v>
      </c>
      <c r="AI85" s="303">
        <v>4.57</v>
      </c>
      <c r="AJ85" s="303">
        <v>0.44999999999999929</v>
      </c>
      <c r="AK85" s="304">
        <v>5.44</v>
      </c>
      <c r="AL85" s="308">
        <v>4.99</v>
      </c>
      <c r="AM85" s="304">
        <v>0.45000000000000018</v>
      </c>
      <c r="AN85" s="303">
        <v>5.0199999999999996</v>
      </c>
      <c r="AO85" s="303">
        <v>2.0099999999999998</v>
      </c>
      <c r="AP85" s="303">
        <v>3.01</v>
      </c>
      <c r="AQ85" s="304">
        <v>5.44</v>
      </c>
      <c r="AR85" s="308">
        <v>3</v>
      </c>
      <c r="AS85" s="304">
        <v>2.4400000000000004</v>
      </c>
      <c r="AT85" s="303">
        <v>5.31</v>
      </c>
      <c r="AU85" s="303">
        <v>6.62</v>
      </c>
      <c r="AV85" s="303">
        <v>-1.3100000000000005</v>
      </c>
      <c r="AW85" s="304">
        <v>5.4499999999999993</v>
      </c>
      <c r="AX85" s="308">
        <v>7.7799999999999994</v>
      </c>
      <c r="AY85" s="304">
        <v>-2.33</v>
      </c>
      <c r="AZ85" s="303">
        <v>4.75</v>
      </c>
      <c r="BA85" s="303">
        <v>4.5299999999999994</v>
      </c>
      <c r="BB85" s="303">
        <v>0.22000000000000064</v>
      </c>
      <c r="BC85" s="304">
        <v>5.51</v>
      </c>
      <c r="BD85" s="308">
        <v>5.4499999999999993</v>
      </c>
      <c r="BE85" s="304">
        <v>6.0000000000000497E-2</v>
      </c>
      <c r="BF85" s="303">
        <v>5.5100000000000007</v>
      </c>
      <c r="BG85" s="303">
        <v>8.4500000000000011</v>
      </c>
      <c r="BH85" s="303">
        <v>-2.9400000000000004</v>
      </c>
      <c r="BI85" s="304">
        <v>5.6300000000000008</v>
      </c>
      <c r="BJ85" s="308">
        <v>12.39</v>
      </c>
      <c r="BK85" s="304">
        <v>-6.76</v>
      </c>
      <c r="BL85" s="303">
        <v>4.9800000000000004</v>
      </c>
      <c r="BM85" s="303">
        <v>4.8099999999999996</v>
      </c>
      <c r="BN85" s="303">
        <v>0.17000000000000082</v>
      </c>
      <c r="BO85" s="304">
        <v>5.07</v>
      </c>
      <c r="BP85" s="308">
        <v>5.49</v>
      </c>
      <c r="BQ85" s="304">
        <v>-0.41999999999999993</v>
      </c>
      <c r="BR85" s="305">
        <v>4.99</v>
      </c>
      <c r="BS85" s="305">
        <v>7.9799999999999995</v>
      </c>
      <c r="BT85" s="305">
        <v>-2.9899999999999993</v>
      </c>
      <c r="BU85" s="304">
        <v>4.9800000000000004</v>
      </c>
      <c r="BV85" s="308">
        <v>7.16</v>
      </c>
      <c r="BW85" s="304">
        <v>-2.1799999999999997</v>
      </c>
      <c r="BX85" s="303">
        <v>5.3</v>
      </c>
      <c r="BY85" s="303">
        <v>7.06</v>
      </c>
      <c r="BZ85" s="303">
        <v>-1.7599999999999998</v>
      </c>
      <c r="CA85" s="304">
        <v>5</v>
      </c>
      <c r="CB85" s="308">
        <v>7.06</v>
      </c>
      <c r="CC85" s="304">
        <v>-2.0599999999999996</v>
      </c>
      <c r="CD85" s="303">
        <v>6.9</v>
      </c>
      <c r="CE85" s="303">
        <v>6.1999999999999993</v>
      </c>
      <c r="CF85" s="303">
        <v>0.70000000000000107</v>
      </c>
      <c r="CG85" s="304">
        <v>6.62</v>
      </c>
      <c r="CH85" s="308">
        <v>6.8</v>
      </c>
      <c r="CI85" s="304">
        <v>-0.17999999999999972</v>
      </c>
      <c r="CJ85" s="303">
        <v>7.4</v>
      </c>
      <c r="CK85" s="309">
        <v>7.1099999999999994</v>
      </c>
      <c r="CL85" s="303">
        <v>0.29000000000000092</v>
      </c>
      <c r="CM85" s="304">
        <v>6.6</v>
      </c>
      <c r="CN85" s="308">
        <v>7.14</v>
      </c>
      <c r="CO85" s="304">
        <v>-0.54</v>
      </c>
      <c r="CP85" s="303">
        <v>8.9</v>
      </c>
      <c r="CQ85" s="309">
        <v>7.4</v>
      </c>
      <c r="CR85" s="303">
        <v>1.5</v>
      </c>
      <c r="CS85" s="304">
        <v>9.8999999999999986</v>
      </c>
      <c r="CT85" s="308">
        <v>7.1499999999999995</v>
      </c>
      <c r="CU85" s="304">
        <v>2.7499999999999991</v>
      </c>
      <c r="CV85" s="303">
        <v>9.0299999999999994</v>
      </c>
      <c r="CW85" s="309">
        <v>6.05</v>
      </c>
      <c r="CX85" s="303">
        <v>2.9799999999999995</v>
      </c>
      <c r="CY85" s="304">
        <v>6.6</v>
      </c>
      <c r="CZ85" s="308">
        <v>7.14</v>
      </c>
      <c r="DA85" s="304">
        <v>-0.54</v>
      </c>
      <c r="DB85" s="303">
        <v>8.59</v>
      </c>
      <c r="DC85" s="309">
        <v>7.6000000000000005</v>
      </c>
      <c r="DD85" s="303">
        <v>0.98999999999999932</v>
      </c>
      <c r="DE85" s="304">
        <v>6.6</v>
      </c>
      <c r="DF85" s="308">
        <v>4.76</v>
      </c>
      <c r="DG85" s="304">
        <v>1.8399999999999999</v>
      </c>
      <c r="DH85" s="303">
        <v>6.75</v>
      </c>
      <c r="DI85" s="309">
        <v>4.76</v>
      </c>
      <c r="DJ85" s="303">
        <v>1.9900000000000002</v>
      </c>
      <c r="DK85" s="304">
        <v>5.4</v>
      </c>
      <c r="DL85" s="308">
        <v>6</v>
      </c>
      <c r="DM85" s="304">
        <v>-0.59999999999999964</v>
      </c>
      <c r="DN85" s="303">
        <v>8.3000000000000007</v>
      </c>
      <c r="DO85" s="309">
        <v>7.8</v>
      </c>
      <c r="DP85" s="303">
        <v>0.50000000000000089</v>
      </c>
      <c r="DQ85" s="304">
        <v>11</v>
      </c>
      <c r="DR85" s="308">
        <v>5.7</v>
      </c>
      <c r="DS85" s="304">
        <v>5.3</v>
      </c>
      <c r="DT85" s="303">
        <v>8.4</v>
      </c>
      <c r="DU85" s="309">
        <v>5.2</v>
      </c>
      <c r="DV85" s="303">
        <v>3.2</v>
      </c>
      <c r="DW85" s="304">
        <v>10.6</v>
      </c>
      <c r="DX85" s="308">
        <v>5.6999999999999993</v>
      </c>
      <c r="DY85" s="304">
        <v>4.9000000000000004</v>
      </c>
      <c r="DZ85" s="303">
        <v>11.2</v>
      </c>
      <c r="EA85" s="309">
        <v>6.05</v>
      </c>
      <c r="EB85" s="303">
        <v>5.1499999999999995</v>
      </c>
      <c r="EC85" s="304">
        <v>8.1999999999999993</v>
      </c>
      <c r="ED85" s="308">
        <v>4.5</v>
      </c>
      <c r="EE85" s="304">
        <v>3.6999999999999993</v>
      </c>
      <c r="EF85" s="303">
        <v>5.7</v>
      </c>
      <c r="EG85" s="309">
        <v>4.3499999999999996</v>
      </c>
      <c r="EH85" s="303">
        <v>1.3500000000000005</v>
      </c>
      <c r="EI85" s="304">
        <v>6.6999999999999993</v>
      </c>
      <c r="EJ85" s="308">
        <v>3.7725</v>
      </c>
      <c r="EK85" s="304">
        <v>2.9274999999999993</v>
      </c>
      <c r="EL85" s="303">
        <v>1.9544589999999999</v>
      </c>
      <c r="EM85" s="309">
        <v>0.33550371000000001</v>
      </c>
      <c r="EN85" s="303">
        <v>1.6189552899999999</v>
      </c>
      <c r="EO85" s="304">
        <v>0.82492702000000007</v>
      </c>
      <c r="EP85" s="308">
        <v>0.47032963000000005</v>
      </c>
      <c r="EQ85" s="304">
        <v>0.35459739000000001</v>
      </c>
      <c r="ER85" s="303">
        <v>0.24411563000000003</v>
      </c>
      <c r="ES85" s="309">
        <v>0.85350456999999991</v>
      </c>
      <c r="ET85" s="303">
        <v>-0.60938893999999988</v>
      </c>
      <c r="EU85" s="304">
        <v>0.41726814000000001</v>
      </c>
      <c r="EV85" s="308">
        <v>0.95150712000000004</v>
      </c>
      <c r="EW85" s="304">
        <v>-0.53423898000000003</v>
      </c>
      <c r="EX85" s="306">
        <v>2.5899849999999999E-2</v>
      </c>
      <c r="EY85" s="310">
        <v>1.07723875</v>
      </c>
      <c r="EZ85" s="306">
        <v>-1.0513389</v>
      </c>
      <c r="FA85" s="307">
        <v>1.9460599999999999E-3</v>
      </c>
      <c r="FB85" s="311">
        <v>2.5349383400000001</v>
      </c>
      <c r="FC85" s="307">
        <v>-2.5329922800000002</v>
      </c>
      <c r="FD85" s="306">
        <v>1.33735505</v>
      </c>
      <c r="FE85" s="310">
        <v>1.8608453699999998</v>
      </c>
      <c r="FF85" s="306">
        <v>-0.52349031999999984</v>
      </c>
      <c r="FG85" s="304">
        <v>0.14683583</v>
      </c>
      <c r="FH85" s="308">
        <v>2.7373807499999998</v>
      </c>
      <c r="FI85" s="304">
        <v>-2.5905449199999997</v>
      </c>
      <c r="FJ85" s="306">
        <v>0.15419442999999999</v>
      </c>
      <c r="FK85" s="310">
        <v>2.7641995100000001</v>
      </c>
      <c r="FL85" s="306">
        <v>-2.6100050800000001</v>
      </c>
      <c r="FM85" s="307">
        <v>7.9569589999999996E-2</v>
      </c>
      <c r="FN85" s="311">
        <v>2.6992917099999998</v>
      </c>
      <c r="FO85" s="307">
        <v>-2.6197221199999996</v>
      </c>
      <c r="FP85" s="306">
        <v>0.12078991</v>
      </c>
      <c r="FQ85" s="310">
        <v>2.15472252</v>
      </c>
      <c r="FR85" s="306">
        <v>-2.0339326099999999</v>
      </c>
      <c r="FS85" s="307">
        <v>2.7659000000000001E-4</v>
      </c>
      <c r="FT85" s="311">
        <v>1.37167135</v>
      </c>
      <c r="FU85" s="307">
        <v>-1.37139476</v>
      </c>
    </row>
    <row r="86" spans="1:177" ht="13.9" customHeight="1" x14ac:dyDescent="0.2">
      <c r="A86" s="284"/>
      <c r="J86" s="303"/>
      <c r="K86" s="303"/>
      <c r="L86" s="303"/>
      <c r="M86" s="304"/>
      <c r="N86" s="304"/>
      <c r="O86" s="304"/>
      <c r="P86" s="303"/>
      <c r="Q86" s="303"/>
      <c r="R86" s="303"/>
      <c r="S86" s="304"/>
      <c r="T86" s="304"/>
      <c r="U86" s="304"/>
      <c r="V86" s="303"/>
      <c r="W86" s="303"/>
      <c r="X86" s="303"/>
      <c r="Y86" s="304"/>
      <c r="Z86" s="304"/>
      <c r="AA86" s="304"/>
      <c r="AB86" s="303"/>
      <c r="AC86" s="303"/>
      <c r="AD86" s="303"/>
      <c r="AE86" s="304"/>
      <c r="AF86" s="304"/>
      <c r="AG86" s="304"/>
      <c r="AH86" s="303"/>
      <c r="AI86" s="303"/>
      <c r="AJ86" s="303"/>
      <c r="AK86" s="304"/>
      <c r="AL86" s="304"/>
      <c r="AM86" s="304"/>
      <c r="AN86" s="303"/>
      <c r="AO86" s="303"/>
      <c r="AP86" s="303"/>
      <c r="AQ86" s="304"/>
      <c r="AR86" s="304"/>
      <c r="AS86" s="304"/>
      <c r="AT86" s="303"/>
      <c r="AU86" s="303"/>
      <c r="AV86" s="303"/>
      <c r="AW86" s="304"/>
      <c r="AX86" s="304"/>
      <c r="AY86" s="304"/>
      <c r="AZ86" s="303"/>
      <c r="BA86" s="303"/>
      <c r="BB86" s="303"/>
      <c r="BC86" s="304"/>
      <c r="BD86" s="304"/>
      <c r="BE86" s="304"/>
      <c r="BF86" s="303"/>
      <c r="BG86" s="303"/>
      <c r="BH86" s="303"/>
      <c r="BI86" s="304"/>
      <c r="BJ86" s="304"/>
      <c r="BK86" s="304"/>
      <c r="BL86" s="303"/>
      <c r="BM86" s="303"/>
      <c r="BN86" s="303"/>
      <c r="BO86" s="304"/>
      <c r="BP86" s="304"/>
      <c r="BQ86" s="304"/>
      <c r="BR86" s="305"/>
      <c r="BS86" s="305"/>
      <c r="BT86" s="305"/>
      <c r="BU86" s="304"/>
      <c r="BV86" s="304"/>
      <c r="BW86" s="304"/>
      <c r="BX86" s="303"/>
      <c r="BY86" s="303"/>
      <c r="BZ86" s="303"/>
      <c r="CA86" s="304"/>
      <c r="CB86" s="304"/>
      <c r="CC86" s="304"/>
      <c r="CD86" s="303"/>
      <c r="CE86" s="303"/>
      <c r="CF86" s="303"/>
      <c r="CG86" s="304"/>
      <c r="CH86" s="304"/>
      <c r="CI86" s="304"/>
      <c r="CJ86" s="303"/>
      <c r="CK86" s="303"/>
      <c r="CL86" s="303"/>
      <c r="CM86" s="304"/>
      <c r="CN86" s="304"/>
      <c r="CO86" s="304"/>
      <c r="CP86" s="303"/>
      <c r="CQ86" s="303"/>
      <c r="CR86" s="303"/>
      <c r="CS86" s="304"/>
      <c r="CT86" s="304"/>
      <c r="CU86" s="304"/>
      <c r="CV86" s="303"/>
      <c r="CW86" s="303"/>
      <c r="CX86" s="303"/>
      <c r="CY86" s="304"/>
      <c r="CZ86" s="304"/>
      <c r="DA86" s="304"/>
      <c r="DB86" s="303"/>
      <c r="DC86" s="303"/>
      <c r="DD86" s="303"/>
      <c r="DE86" s="304"/>
      <c r="DF86" s="304"/>
      <c r="DG86" s="304"/>
      <c r="DH86" s="303"/>
      <c r="DI86" s="303"/>
      <c r="DJ86" s="303"/>
      <c r="DK86" s="304"/>
      <c r="DL86" s="304"/>
      <c r="DM86" s="304"/>
      <c r="DN86" s="303"/>
      <c r="DO86" s="303"/>
      <c r="DP86" s="303"/>
      <c r="DQ86" s="304"/>
      <c r="DR86" s="304"/>
      <c r="DS86" s="304"/>
      <c r="DT86" s="303"/>
      <c r="DU86" s="303"/>
      <c r="DV86" s="303"/>
      <c r="DW86" s="304"/>
      <c r="DX86" s="304"/>
      <c r="DY86" s="304"/>
      <c r="DZ86" s="303"/>
      <c r="EA86" s="303"/>
      <c r="EB86" s="303"/>
      <c r="EC86" s="304"/>
      <c r="ED86" s="304"/>
      <c r="EE86" s="304"/>
      <c r="EF86" s="303"/>
      <c r="EG86" s="303"/>
      <c r="EH86" s="303"/>
      <c r="EI86" s="304"/>
      <c r="EJ86" s="304"/>
      <c r="EK86" s="304"/>
      <c r="EL86" s="303"/>
      <c r="EM86" s="303"/>
      <c r="EN86" s="303"/>
      <c r="EO86" s="304"/>
      <c r="EP86" s="304"/>
      <c r="EQ86" s="304"/>
      <c r="ER86" s="303"/>
      <c r="ES86" s="303"/>
      <c r="ET86" s="303"/>
      <c r="EU86" s="304"/>
      <c r="EV86" s="304"/>
      <c r="EW86" s="304"/>
      <c r="EX86" s="306"/>
      <c r="EY86" s="306"/>
      <c r="EZ86" s="306"/>
      <c r="FA86" s="307"/>
      <c r="FB86" s="307"/>
      <c r="FC86" s="307"/>
      <c r="FD86" s="306"/>
      <c r="FE86" s="306"/>
      <c r="FF86" s="306"/>
      <c r="FG86" s="304"/>
      <c r="FH86" s="304"/>
      <c r="FI86" s="304"/>
      <c r="FJ86" s="306"/>
      <c r="FK86" s="306"/>
      <c r="FL86" s="306"/>
      <c r="FM86" s="307"/>
      <c r="FN86" s="307"/>
      <c r="FO86" s="307"/>
      <c r="FP86" s="306"/>
      <c r="FQ86" s="306"/>
      <c r="FR86" s="306"/>
      <c r="FS86" s="307"/>
      <c r="FT86" s="307"/>
      <c r="FU86" s="307"/>
    </row>
    <row r="87" spans="1:177" ht="13.9" customHeight="1" x14ac:dyDescent="0.2">
      <c r="A87" s="284"/>
      <c r="C87" s="284" t="s">
        <v>554</v>
      </c>
      <c r="J87" s="298">
        <v>5076.5001079904259</v>
      </c>
      <c r="K87" s="298">
        <v>6538.413265661492</v>
      </c>
      <c r="L87" s="298">
        <v>-1461.9131576710661</v>
      </c>
      <c r="M87" s="299">
        <v>4729.3857944956817</v>
      </c>
      <c r="N87" s="299">
        <v>5403.2401088584011</v>
      </c>
      <c r="O87" s="299">
        <v>-673.85431436271938</v>
      </c>
      <c r="P87" s="298">
        <v>4948.652715188301</v>
      </c>
      <c r="Q87" s="298">
        <v>5588.9394064024691</v>
      </c>
      <c r="R87" s="298">
        <v>-640.28669121416806</v>
      </c>
      <c r="S87" s="299">
        <v>5145.2593087696941</v>
      </c>
      <c r="T87" s="299">
        <v>6220.5935258295867</v>
      </c>
      <c r="U87" s="299">
        <v>-1075.3342170598926</v>
      </c>
      <c r="V87" s="298">
        <v>5058.7100496760886</v>
      </c>
      <c r="W87" s="298">
        <v>6115.1721738955039</v>
      </c>
      <c r="X87" s="298">
        <v>-1056.4621242194153</v>
      </c>
      <c r="Y87" s="299">
        <v>5003.3753650814033</v>
      </c>
      <c r="Z87" s="299">
        <v>5954.9692300348606</v>
      </c>
      <c r="AA87" s="299">
        <v>-951.59386495345734</v>
      </c>
      <c r="AB87" s="298">
        <v>5548.5351384196201</v>
      </c>
      <c r="AC87" s="298">
        <v>5934.1216049320037</v>
      </c>
      <c r="AD87" s="298">
        <v>-385.58646651238359</v>
      </c>
      <c r="AE87" s="299">
        <v>6117.943442219339</v>
      </c>
      <c r="AF87" s="299">
        <v>6193.9911171323838</v>
      </c>
      <c r="AG87" s="299">
        <v>-76.04767491304483</v>
      </c>
      <c r="AH87" s="298">
        <v>5980.7030701657795</v>
      </c>
      <c r="AI87" s="298">
        <v>6430.5235116158938</v>
      </c>
      <c r="AJ87" s="298">
        <v>-449.82044145011423</v>
      </c>
      <c r="AK87" s="299">
        <v>5742.1852403867424</v>
      </c>
      <c r="AL87" s="299">
        <v>5758.2765359524647</v>
      </c>
      <c r="AM87" s="299">
        <v>-16.091295565722248</v>
      </c>
      <c r="AN87" s="298">
        <v>6042.4259593269571</v>
      </c>
      <c r="AO87" s="298">
        <v>6877.8330573527237</v>
      </c>
      <c r="AP87" s="298">
        <v>-835.40709802576657</v>
      </c>
      <c r="AQ87" s="299">
        <v>6243.4990328000131</v>
      </c>
      <c r="AR87" s="299">
        <v>6871.6096656715645</v>
      </c>
      <c r="AS87" s="299">
        <v>-628.11063287155139</v>
      </c>
      <c r="AT87" s="298">
        <v>6280.6506778510593</v>
      </c>
      <c r="AU87" s="298">
        <v>6586.7087969540353</v>
      </c>
      <c r="AV87" s="298">
        <v>-306.05811910297598</v>
      </c>
      <c r="AW87" s="299">
        <v>5822.5900710371825</v>
      </c>
      <c r="AX87" s="299">
        <v>6367.3016325991321</v>
      </c>
      <c r="AY87" s="299">
        <v>-544.71156156194957</v>
      </c>
      <c r="AZ87" s="298">
        <v>6026.2225414457889</v>
      </c>
      <c r="BA87" s="298">
        <v>6321.7064905000943</v>
      </c>
      <c r="BB87" s="298">
        <v>-295.48394905430541</v>
      </c>
      <c r="BC87" s="299">
        <v>6018.7399969566595</v>
      </c>
      <c r="BD87" s="299">
        <v>6708.9619220442137</v>
      </c>
      <c r="BE87" s="299">
        <v>-690.22192508755415</v>
      </c>
      <c r="BF87" s="298">
        <v>6500.9170516684762</v>
      </c>
      <c r="BG87" s="298">
        <v>6464.8868986193411</v>
      </c>
      <c r="BH87" s="298">
        <v>36.030153049135151</v>
      </c>
      <c r="BI87" s="299">
        <v>5822.6069635423164</v>
      </c>
      <c r="BJ87" s="299">
        <v>6498.9515561382923</v>
      </c>
      <c r="BK87" s="299">
        <v>-676.34459259597588</v>
      </c>
      <c r="BL87" s="298">
        <v>6280.0928714129996</v>
      </c>
      <c r="BM87" s="298">
        <v>6371.4993380284095</v>
      </c>
      <c r="BN87" s="298">
        <v>-91.406466615409954</v>
      </c>
      <c r="BO87" s="299">
        <v>6288.1467800846649</v>
      </c>
      <c r="BP87" s="299">
        <v>7273.5555899510491</v>
      </c>
      <c r="BQ87" s="299">
        <v>-985.40880986638422</v>
      </c>
      <c r="BR87" s="300">
        <v>6816.4344312301528</v>
      </c>
      <c r="BS87" s="300">
        <v>7220.0183063485501</v>
      </c>
      <c r="BT87" s="300">
        <v>-403.58387511839737</v>
      </c>
      <c r="BU87" s="299">
        <v>6046.5798102816807</v>
      </c>
      <c r="BV87" s="299">
        <v>6672.2946825507461</v>
      </c>
      <c r="BW87" s="299">
        <v>-625.71487226906538</v>
      </c>
      <c r="BX87" s="298">
        <v>6815.6325368995913</v>
      </c>
      <c r="BY87" s="298">
        <v>6999.5291219926585</v>
      </c>
      <c r="BZ87" s="298">
        <v>-183.89658509306719</v>
      </c>
      <c r="CA87" s="299">
        <v>6793.4433347889599</v>
      </c>
      <c r="CB87" s="299">
        <v>7878.3129923202978</v>
      </c>
      <c r="CC87" s="299">
        <v>-1084.8696575313379</v>
      </c>
      <c r="CD87" s="298">
        <v>7405.5371958568821</v>
      </c>
      <c r="CE87" s="298">
        <v>7986.81057019132</v>
      </c>
      <c r="CF87" s="298">
        <v>-581.2733743344379</v>
      </c>
      <c r="CG87" s="299">
        <v>6354.8518992699519</v>
      </c>
      <c r="CH87" s="299">
        <v>7370.3939554490362</v>
      </c>
      <c r="CI87" s="299">
        <v>-1015.5420561790843</v>
      </c>
      <c r="CJ87" s="298">
        <v>6997.8729022605803</v>
      </c>
      <c r="CK87" s="298">
        <v>7372.9215250915777</v>
      </c>
      <c r="CL87" s="298">
        <v>-375.04862283099737</v>
      </c>
      <c r="CM87" s="299">
        <v>6818.7664276230244</v>
      </c>
      <c r="CN87" s="299">
        <v>7631.5951356080095</v>
      </c>
      <c r="CO87" s="299">
        <v>-812.82870798498516</v>
      </c>
      <c r="CP87" s="298">
        <v>7313.5868651287383</v>
      </c>
      <c r="CQ87" s="298">
        <v>6854.3849201609619</v>
      </c>
      <c r="CR87" s="298">
        <v>459.2019449677764</v>
      </c>
      <c r="CS87" s="299">
        <v>6039.9230593829843</v>
      </c>
      <c r="CT87" s="299">
        <v>6832.2350996196201</v>
      </c>
      <c r="CU87" s="299">
        <v>-792.31204023663577</v>
      </c>
      <c r="CV87" s="298">
        <v>6442.8428118382026</v>
      </c>
      <c r="CW87" s="298">
        <v>7013.6354320235732</v>
      </c>
      <c r="CX87" s="298">
        <v>-570.79262018537065</v>
      </c>
      <c r="CY87" s="299">
        <v>6646.6288851772551</v>
      </c>
      <c r="CZ87" s="299">
        <v>7563.0155097304723</v>
      </c>
      <c r="DA87" s="299">
        <v>-916.38662455321719</v>
      </c>
      <c r="DB87" s="298">
        <v>5897.6356598836601</v>
      </c>
      <c r="DC87" s="298">
        <v>6331.2566883030395</v>
      </c>
      <c r="DD87" s="298">
        <v>-433.6210284193794</v>
      </c>
      <c r="DE87" s="299">
        <v>3676.9365742767991</v>
      </c>
      <c r="DF87" s="299">
        <v>4323.5353508057997</v>
      </c>
      <c r="DG87" s="299">
        <v>-646.59877652900059</v>
      </c>
      <c r="DH87" s="298">
        <v>5656.4398088175039</v>
      </c>
      <c r="DI87" s="298">
        <v>5419.7814832263766</v>
      </c>
      <c r="DJ87" s="298">
        <v>236.65832559112732</v>
      </c>
      <c r="DK87" s="299">
        <v>5218.0385177496855</v>
      </c>
      <c r="DL87" s="299">
        <v>5533.5370083647576</v>
      </c>
      <c r="DM87" s="299">
        <v>-315.49849061507211</v>
      </c>
      <c r="DN87" s="298">
        <v>5390.54547501057</v>
      </c>
      <c r="DO87" s="298">
        <v>5799.4233737948553</v>
      </c>
      <c r="DP87" s="298">
        <v>-408.87789878428521</v>
      </c>
      <c r="DQ87" s="299">
        <v>4715.0027468711369</v>
      </c>
      <c r="DR87" s="299">
        <v>5676.9393253477892</v>
      </c>
      <c r="DS87" s="299">
        <v>-961.93657847665236</v>
      </c>
      <c r="DT87" s="298">
        <v>5072.6192494071011</v>
      </c>
      <c r="DU87" s="298">
        <v>5831.5155556356658</v>
      </c>
      <c r="DV87" s="298">
        <v>-758.89630622856475</v>
      </c>
      <c r="DW87" s="299">
        <v>5458.3532786873939</v>
      </c>
      <c r="DX87" s="299">
        <v>6587.7930972150843</v>
      </c>
      <c r="DY87" s="299">
        <v>-1129.4398185276905</v>
      </c>
      <c r="DZ87" s="298">
        <v>5096.5083167347084</v>
      </c>
      <c r="EA87" s="298">
        <v>6410.6543684333274</v>
      </c>
      <c r="EB87" s="298">
        <v>-1314.146051698619</v>
      </c>
      <c r="EC87" s="299">
        <v>4809.2084135698005</v>
      </c>
      <c r="ED87" s="299">
        <v>5169.1302376922413</v>
      </c>
      <c r="EE87" s="299">
        <v>-359.92182412244074</v>
      </c>
      <c r="EF87" s="298">
        <v>5152.2174737239129</v>
      </c>
      <c r="EG87" s="298">
        <v>4984.0836592454907</v>
      </c>
      <c r="EH87" s="298">
        <v>168.13381447842221</v>
      </c>
      <c r="EI87" s="299">
        <v>5208.1515116982682</v>
      </c>
      <c r="EJ87" s="299">
        <v>5131.3194414447344</v>
      </c>
      <c r="EK87" s="299">
        <v>76.832070253533857</v>
      </c>
      <c r="EL87" s="298">
        <v>5832.0158861092623</v>
      </c>
      <c r="EM87" s="298">
        <v>5219.5321937752433</v>
      </c>
      <c r="EN87" s="298">
        <v>612.483692334019</v>
      </c>
      <c r="EO87" s="299">
        <v>5557.6066635266761</v>
      </c>
      <c r="EP87" s="299">
        <v>5494.2894137786207</v>
      </c>
      <c r="EQ87" s="299">
        <v>63.317249748055474</v>
      </c>
      <c r="ER87" s="298">
        <v>6280.3790799473281</v>
      </c>
      <c r="ES87" s="298">
        <v>5671.7432600833827</v>
      </c>
      <c r="ET87" s="298">
        <v>608.63581986394547</v>
      </c>
      <c r="EU87" s="299">
        <v>6145.5945442877501</v>
      </c>
      <c r="EV87" s="299">
        <v>5953.6482556237379</v>
      </c>
      <c r="EW87" s="299">
        <v>191.94628866401217</v>
      </c>
      <c r="EX87" s="301">
        <v>6695.2139034053444</v>
      </c>
      <c r="EY87" s="301">
        <v>5965.6565076309234</v>
      </c>
      <c r="EZ87" s="301">
        <v>729.55739577442091</v>
      </c>
      <c r="FA87" s="302">
        <v>6173.0357430732138</v>
      </c>
      <c r="FB87" s="302">
        <v>5750.7787012946474</v>
      </c>
      <c r="FC87" s="302">
        <v>422.25704177856642</v>
      </c>
      <c r="FD87" s="301">
        <v>7066.2473432855886</v>
      </c>
      <c r="FE87" s="301">
        <v>6768.827038163553</v>
      </c>
      <c r="FF87" s="301">
        <v>297.42030512203564</v>
      </c>
      <c r="FG87" s="299">
        <v>6961.878182426949</v>
      </c>
      <c r="FH87" s="299">
        <v>7192.2593102196424</v>
      </c>
      <c r="FI87" s="299">
        <v>-230.38112779269341</v>
      </c>
      <c r="FJ87" s="301">
        <v>7348.7902087741513</v>
      </c>
      <c r="FK87" s="301">
        <v>6402.6791605676181</v>
      </c>
      <c r="FL87" s="301">
        <v>946.11104820653327</v>
      </c>
      <c r="FM87" s="302">
        <v>6807.5506885198247</v>
      </c>
      <c r="FN87" s="302">
        <v>6312.981107659125</v>
      </c>
      <c r="FO87" s="302">
        <v>494.56958086069972</v>
      </c>
      <c r="FP87" s="301">
        <v>7618.4982687006059</v>
      </c>
      <c r="FQ87" s="301">
        <v>7211.6973989438784</v>
      </c>
      <c r="FR87" s="301">
        <v>406.80086975672748</v>
      </c>
      <c r="FS87" s="302">
        <v>7530.8577400317527</v>
      </c>
      <c r="FT87" s="302">
        <v>7666.1220973376858</v>
      </c>
      <c r="FU87" s="302">
        <v>-135.26435730593312</v>
      </c>
    </row>
    <row r="88" spans="1:177" ht="13.9" customHeight="1" x14ac:dyDescent="0.2">
      <c r="C88" s="284"/>
      <c r="M88" s="272"/>
      <c r="N88" s="272"/>
      <c r="O88" s="272"/>
      <c r="P88" s="325"/>
      <c r="Q88" s="272"/>
      <c r="R88" s="272"/>
      <c r="S88" s="272"/>
      <c r="T88" s="272"/>
      <c r="U88" s="272"/>
      <c r="AK88" s="326"/>
      <c r="AL88" s="326"/>
      <c r="AM88" s="326"/>
      <c r="AN88" s="326"/>
      <c r="AO88" s="326"/>
      <c r="AP88" s="326"/>
      <c r="AQ88" s="326"/>
      <c r="AR88" s="326"/>
      <c r="AS88" s="326"/>
      <c r="AT88" s="326"/>
      <c r="AU88" s="326"/>
      <c r="AV88" s="326"/>
      <c r="AW88" s="326"/>
      <c r="AX88" s="326"/>
      <c r="AY88" s="326"/>
      <c r="AZ88" s="326"/>
      <c r="BA88" s="326"/>
      <c r="BB88" s="326"/>
      <c r="BC88" s="326"/>
      <c r="BD88" s="326"/>
      <c r="BE88" s="326"/>
      <c r="BF88" s="326"/>
      <c r="BG88" s="326"/>
      <c r="BH88" s="326"/>
      <c r="BI88" s="326"/>
      <c r="BJ88" s="326"/>
      <c r="BK88" s="326"/>
      <c r="BL88" s="326"/>
      <c r="BM88" s="326"/>
      <c r="BN88" s="326"/>
      <c r="BO88" s="326"/>
      <c r="BP88" s="326"/>
      <c r="BQ88" s="326"/>
      <c r="BR88" s="316"/>
      <c r="BS88" s="316"/>
      <c r="BT88" s="316"/>
      <c r="BU88" s="326"/>
      <c r="BV88" s="326"/>
      <c r="BW88" s="326"/>
      <c r="BX88" s="326"/>
      <c r="BY88" s="326"/>
      <c r="BZ88" s="326"/>
      <c r="CA88" s="326"/>
      <c r="CB88" s="326"/>
      <c r="CC88" s="326"/>
      <c r="CD88" s="326"/>
      <c r="CE88" s="326"/>
      <c r="CF88" s="326"/>
      <c r="CG88" s="326"/>
      <c r="CH88" s="326"/>
      <c r="CI88" s="326"/>
      <c r="CJ88" s="326"/>
      <c r="CK88" s="326"/>
      <c r="CL88" s="326"/>
      <c r="CM88" s="326"/>
      <c r="CN88" s="326"/>
      <c r="CO88" s="326"/>
      <c r="CS88" s="326"/>
      <c r="CT88" s="326"/>
      <c r="CU88" s="326"/>
    </row>
    <row r="89" spans="1:177" ht="14.1" customHeight="1" x14ac:dyDescent="0.2">
      <c r="M89" s="272"/>
      <c r="N89" s="272"/>
      <c r="O89" s="272"/>
      <c r="P89" s="325"/>
      <c r="Q89" s="272"/>
      <c r="R89" s="272"/>
      <c r="S89" s="272"/>
      <c r="T89" s="272"/>
      <c r="U89" s="326"/>
      <c r="AK89" s="326"/>
      <c r="AL89" s="326"/>
      <c r="AM89" s="326"/>
      <c r="AN89" s="326"/>
      <c r="AO89" s="326"/>
      <c r="AP89" s="326"/>
      <c r="AQ89" s="326"/>
      <c r="AR89" s="326"/>
      <c r="AS89" s="326"/>
      <c r="AT89" s="326"/>
      <c r="AU89" s="326"/>
      <c r="AV89" s="326"/>
      <c r="AW89" s="326"/>
      <c r="AX89" s="326"/>
      <c r="AY89" s="326"/>
      <c r="AZ89" s="326"/>
      <c r="BA89" s="326"/>
      <c r="BB89" s="326"/>
      <c r="BC89" s="326"/>
      <c r="BD89" s="326"/>
      <c r="BE89" s="326"/>
      <c r="BF89" s="326"/>
      <c r="BG89" s="326"/>
      <c r="BH89" s="326"/>
      <c r="BI89" s="326"/>
      <c r="BJ89" s="326"/>
      <c r="BK89" s="326"/>
      <c r="BL89" s="326"/>
      <c r="BM89" s="326"/>
      <c r="BN89" s="326"/>
      <c r="BO89" s="326"/>
      <c r="BP89" s="326"/>
      <c r="BQ89" s="326"/>
      <c r="BR89" s="316"/>
      <c r="BS89" s="316"/>
      <c r="BT89" s="316"/>
      <c r="BU89" s="326"/>
      <c r="BV89" s="326"/>
      <c r="BW89" s="326"/>
      <c r="BX89" s="326"/>
      <c r="BY89" s="326"/>
      <c r="BZ89" s="326"/>
      <c r="CA89" s="326"/>
      <c r="CB89" s="326"/>
      <c r="CC89" s="326"/>
      <c r="CD89" s="326"/>
      <c r="CE89" s="326"/>
      <c r="CF89" s="326"/>
      <c r="CG89" s="326"/>
      <c r="CH89" s="326"/>
      <c r="CI89" s="326"/>
      <c r="CJ89" s="326"/>
      <c r="CK89" s="326"/>
      <c r="CL89" s="326"/>
      <c r="CM89" s="326"/>
      <c r="CN89" s="326"/>
      <c r="CO89" s="326"/>
      <c r="CS89" s="326"/>
      <c r="CT89" s="326"/>
      <c r="CU89" s="326"/>
    </row>
    <row r="90" spans="1:177" ht="14.1" customHeight="1" x14ac:dyDescent="0.25">
      <c r="B90" s="327" t="s">
        <v>555</v>
      </c>
      <c r="M90" s="272"/>
      <c r="N90" s="272"/>
      <c r="O90" s="272"/>
      <c r="P90" s="325"/>
      <c r="Q90" s="272"/>
      <c r="R90" s="272"/>
      <c r="S90" s="272"/>
      <c r="T90" s="272"/>
      <c r="U90" s="326"/>
      <c r="AK90" s="326"/>
      <c r="AL90" s="326"/>
      <c r="AM90" s="326"/>
      <c r="AN90" s="326"/>
      <c r="AO90" s="326"/>
      <c r="AP90" s="326"/>
      <c r="AQ90" s="326"/>
      <c r="AR90" s="326"/>
      <c r="AS90" s="326"/>
      <c r="AT90" s="326"/>
      <c r="AU90" s="326"/>
      <c r="AV90" s="326"/>
      <c r="AW90" s="326"/>
      <c r="AX90" s="326"/>
      <c r="AY90" s="326"/>
      <c r="AZ90" s="326"/>
      <c r="BA90" s="326"/>
      <c r="BB90" s="326"/>
      <c r="BC90" s="326"/>
      <c r="BD90" s="326"/>
      <c r="BE90" s="326"/>
      <c r="BF90" s="326"/>
      <c r="BG90" s="326"/>
      <c r="BH90" s="326"/>
      <c r="BI90" s="326"/>
      <c r="BJ90" s="326"/>
      <c r="BK90" s="326"/>
      <c r="BL90" s="326"/>
      <c r="BM90" s="326"/>
      <c r="BN90" s="326"/>
      <c r="BO90" s="326"/>
      <c r="BP90" s="326"/>
      <c r="BQ90" s="326"/>
      <c r="BR90" s="316"/>
      <c r="BS90" s="316"/>
      <c r="BT90" s="316"/>
      <c r="BU90" s="326"/>
      <c r="BV90" s="326"/>
      <c r="BW90" s="326"/>
      <c r="BX90" s="326"/>
      <c r="BY90" s="326"/>
      <c r="BZ90" s="326"/>
      <c r="CA90" s="326"/>
      <c r="CB90" s="326"/>
      <c r="CC90" s="326"/>
      <c r="CD90" s="326"/>
      <c r="CE90" s="326"/>
      <c r="CF90" s="326"/>
      <c r="CG90" s="326"/>
      <c r="CH90" s="326"/>
      <c r="CI90" s="326"/>
      <c r="CJ90" s="326"/>
      <c r="CK90" s="326"/>
      <c r="CL90" s="326"/>
      <c r="CM90" s="326"/>
      <c r="CN90" s="326"/>
      <c r="CO90" s="326"/>
      <c r="CS90" s="326"/>
      <c r="CT90" s="326"/>
      <c r="CU90" s="326"/>
    </row>
    <row r="91" spans="1:177" ht="15" x14ac:dyDescent="0.25">
      <c r="B91" s="327" t="s">
        <v>1</v>
      </c>
      <c r="BF91" s="326"/>
      <c r="BG91" s="326"/>
      <c r="BH91" s="326"/>
      <c r="BI91" s="326"/>
      <c r="BJ91" s="326"/>
      <c r="BK91" s="326"/>
      <c r="BL91" s="326"/>
      <c r="BM91" s="326"/>
      <c r="BN91" s="326"/>
      <c r="BO91" s="326"/>
      <c r="BP91" s="326"/>
      <c r="BQ91" s="326"/>
      <c r="BR91" s="316"/>
      <c r="BS91" s="316"/>
      <c r="BT91" s="316"/>
      <c r="BU91" s="326"/>
      <c r="BV91" s="326"/>
      <c r="BW91" s="326"/>
      <c r="BX91" s="326"/>
      <c r="BY91" s="326"/>
      <c r="BZ91" s="326"/>
      <c r="CA91" s="326"/>
      <c r="CB91" s="326"/>
      <c r="CC91" s="326"/>
      <c r="CD91" s="326"/>
      <c r="CE91" s="326"/>
      <c r="CF91" s="326"/>
      <c r="CG91" s="326"/>
      <c r="CH91" s="326"/>
      <c r="CI91" s="326"/>
      <c r="CJ91" s="326"/>
      <c r="CK91" s="326"/>
      <c r="CL91" s="326"/>
      <c r="CM91" s="326"/>
      <c r="CN91" s="326"/>
      <c r="CO91" s="326"/>
      <c r="CS91" s="326"/>
      <c r="CT91" s="326"/>
      <c r="CU91" s="326"/>
    </row>
    <row r="92" spans="1:177" ht="15" x14ac:dyDescent="0.25">
      <c r="B92" s="327"/>
      <c r="BF92" s="326"/>
      <c r="BG92" s="326"/>
      <c r="BH92" s="326"/>
      <c r="BI92" s="326"/>
      <c r="BJ92" s="326"/>
      <c r="BK92" s="326"/>
      <c r="BL92" s="326"/>
      <c r="BM92" s="326"/>
      <c r="BN92" s="326"/>
      <c r="BO92" s="326"/>
      <c r="BP92" s="326"/>
      <c r="BQ92" s="326"/>
      <c r="BR92" s="316"/>
      <c r="BS92" s="316"/>
      <c r="BT92" s="316"/>
      <c r="BU92" s="326"/>
      <c r="BV92" s="326"/>
      <c r="BW92" s="326"/>
      <c r="BX92" s="326"/>
      <c r="BY92" s="326"/>
      <c r="BZ92" s="326"/>
      <c r="CA92" s="326"/>
      <c r="CB92" s="326"/>
      <c r="CC92" s="326"/>
      <c r="CD92" s="326"/>
      <c r="CE92" s="326"/>
      <c r="CF92" s="326"/>
      <c r="CG92" s="326"/>
      <c r="CH92" s="326"/>
      <c r="CI92" s="326"/>
      <c r="CJ92" s="326"/>
      <c r="CK92" s="326"/>
      <c r="CL92" s="326"/>
      <c r="CM92" s="326"/>
      <c r="CN92" s="326"/>
      <c r="CO92" s="326"/>
      <c r="CS92" s="326"/>
      <c r="CT92" s="326"/>
      <c r="CU92" s="326"/>
    </row>
    <row r="94" spans="1:177" ht="25.5" customHeight="1" x14ac:dyDescent="0.2">
      <c r="B94" s="328" t="s">
        <v>556</v>
      </c>
      <c r="C94" s="328"/>
      <c r="D94" s="328"/>
      <c r="E94" s="328"/>
      <c r="F94" s="328"/>
      <c r="G94" s="328"/>
      <c r="H94" s="328"/>
      <c r="I94" s="328"/>
    </row>
    <row r="95" spans="1:177" ht="8.25" customHeight="1" x14ac:dyDescent="0.2">
      <c r="G95" s="277"/>
    </row>
    <row r="96" spans="1:177" ht="28.5" customHeight="1" x14ac:dyDescent="0.2">
      <c r="B96" s="330" t="s">
        <v>557</v>
      </c>
      <c r="C96" s="330"/>
      <c r="D96" s="330"/>
      <c r="E96" s="330"/>
      <c r="F96" s="330"/>
      <c r="G96" s="330"/>
      <c r="H96" s="330"/>
    </row>
    <row r="97" spans="2:9" x14ac:dyDescent="0.2">
      <c r="G97" s="277"/>
    </row>
    <row r="98" spans="2:9" x14ac:dyDescent="0.2">
      <c r="G98" s="277"/>
    </row>
    <row r="99" spans="2:9" x14ac:dyDescent="0.2">
      <c r="B99" s="328" t="s">
        <v>558</v>
      </c>
      <c r="C99" s="328"/>
      <c r="D99" s="328"/>
      <c r="E99" s="328"/>
      <c r="F99" s="328"/>
      <c r="G99" s="328"/>
      <c r="H99" s="328"/>
      <c r="I99" s="328"/>
    </row>
    <row r="101" spans="2:9" x14ac:dyDescent="0.2">
      <c r="B101" s="272" t="s">
        <v>559</v>
      </c>
    </row>
  </sheetData>
  <mergeCells count="59">
    <mergeCell ref="FP5:FR5"/>
    <mergeCell ref="FS5:FU5"/>
    <mergeCell ref="B94:I94"/>
    <mergeCell ref="B96:H96"/>
    <mergeCell ref="B99:I99"/>
    <mergeCell ref="EX5:EZ5"/>
    <mergeCell ref="FA5:FC5"/>
    <mergeCell ref="FD5:FF5"/>
    <mergeCell ref="FG5:FI5"/>
    <mergeCell ref="FJ5:FL5"/>
    <mergeCell ref="FM5:FO5"/>
    <mergeCell ref="EF5:EH5"/>
    <mergeCell ref="EI5:EK5"/>
    <mergeCell ref="EL5:EN5"/>
    <mergeCell ref="EO5:EQ5"/>
    <mergeCell ref="ER5:ET5"/>
    <mergeCell ref="EU5:EW5"/>
    <mergeCell ref="DN5:DP5"/>
    <mergeCell ref="DQ5:DS5"/>
    <mergeCell ref="DT5:DV5"/>
    <mergeCell ref="DW5:DY5"/>
    <mergeCell ref="DZ5:EB5"/>
    <mergeCell ref="EC5:EE5"/>
    <mergeCell ref="CV5:CX5"/>
    <mergeCell ref="CY5:DA5"/>
    <mergeCell ref="DB5:DD5"/>
    <mergeCell ref="DE5:DG5"/>
    <mergeCell ref="DH5:DJ5"/>
    <mergeCell ref="DK5:DM5"/>
    <mergeCell ref="CD5:CF5"/>
    <mergeCell ref="CG5:CI5"/>
    <mergeCell ref="CJ5:CL5"/>
    <mergeCell ref="CM5:CO5"/>
    <mergeCell ref="CP5:CR5"/>
    <mergeCell ref="CS5:CU5"/>
    <mergeCell ref="BL5:BN5"/>
    <mergeCell ref="BO5:BQ5"/>
    <mergeCell ref="BR5:BT5"/>
    <mergeCell ref="BU5:BW5"/>
    <mergeCell ref="BX5:BZ5"/>
    <mergeCell ref="CA5:CC5"/>
    <mergeCell ref="AT5:AV5"/>
    <mergeCell ref="AW5:AY5"/>
    <mergeCell ref="AZ5:BB5"/>
    <mergeCell ref="BC5:BE5"/>
    <mergeCell ref="BF5:BH5"/>
    <mergeCell ref="BI5:BK5"/>
    <mergeCell ref="AB5:AD5"/>
    <mergeCell ref="AE5:AG5"/>
    <mergeCell ref="AH5:AJ5"/>
    <mergeCell ref="AK5:AM5"/>
    <mergeCell ref="AN5:AP5"/>
    <mergeCell ref="AQ5:AS5"/>
    <mergeCell ref="J5:L5"/>
    <mergeCell ref="M5:O5"/>
    <mergeCell ref="P5:R5"/>
    <mergeCell ref="S5:U5"/>
    <mergeCell ref="V5:X5"/>
    <mergeCell ref="Y5:AA5"/>
  </mergeCells>
  <hyperlinks>
    <hyperlink ref="FU2" location="Contents!A1" display="Back to Contents" xr:uid="{53B5B19C-F530-4FBB-9403-2B6F780F1405}"/>
  </hyperlinks>
  <printOptions horizontalCentered="1"/>
  <pageMargins left="0.19" right="0.17" top="0.75" bottom="0.75" header="0.3" footer="0.3"/>
  <pageSetup paperSize="9" scale="63" orientation="portrait" r:id="rId1"/>
  <headerFooter>
    <oddHeader>&amp;L&amp;"Calibri"&amp;10&amp;K000000 [Limited Sharing]&amp;1#_x000D_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1FF4B-8610-467D-90A9-49BD05888260}">
  <dimension ref="A1:N120"/>
  <sheetViews>
    <sheetView zoomScaleNormal="100" workbookViewId="0">
      <selection activeCell="I2" sqref="I2"/>
    </sheetView>
  </sheetViews>
  <sheetFormatPr defaultRowHeight="12.75" x14ac:dyDescent="0.2"/>
  <cols>
    <col min="1" max="9" width="15.42578125" style="19" customWidth="1"/>
    <col min="10" max="16384" width="9.140625" style="19"/>
  </cols>
  <sheetData>
    <row r="1" spans="1:14" s="16" customFormat="1" ht="15" customHeight="1" x14ac:dyDescent="0.25">
      <c r="A1" s="13" t="s">
        <v>29</v>
      </c>
      <c r="B1" s="14"/>
      <c r="C1" s="14"/>
      <c r="D1" s="14"/>
      <c r="E1" s="14"/>
      <c r="F1" s="14"/>
      <c r="G1" s="14"/>
      <c r="H1" s="14"/>
      <c r="I1" s="15" t="s">
        <v>278</v>
      </c>
    </row>
    <row r="2" spans="1:14" s="16" customFormat="1" ht="15" customHeight="1" x14ac:dyDescent="0.25">
      <c r="A2" s="54" t="s">
        <v>286</v>
      </c>
      <c r="B2" s="14"/>
      <c r="C2" s="14"/>
      <c r="D2" s="14"/>
      <c r="E2" s="14"/>
      <c r="F2" s="14"/>
      <c r="G2" s="14"/>
      <c r="H2" s="14"/>
      <c r="I2" s="17" t="s">
        <v>10</v>
      </c>
    </row>
    <row r="3" spans="1:14" s="16" customFormat="1" ht="13.5" customHeight="1" x14ac:dyDescent="0.25">
      <c r="A3" s="14"/>
      <c r="B3" s="14"/>
      <c r="C3" s="14"/>
      <c r="D3" s="14"/>
      <c r="E3" s="14"/>
      <c r="F3" s="14"/>
      <c r="G3" s="14"/>
      <c r="H3" s="14"/>
      <c r="I3" s="17"/>
    </row>
    <row r="4" spans="1:14" s="16" customFormat="1" ht="18.75" customHeight="1" x14ac:dyDescent="0.3">
      <c r="A4" s="208" t="s">
        <v>30</v>
      </c>
      <c r="B4" s="208"/>
      <c r="C4" s="208"/>
      <c r="D4" s="208"/>
      <c r="E4" s="208"/>
      <c r="F4" s="208"/>
      <c r="G4" s="208"/>
      <c r="H4" s="208"/>
      <c r="I4" s="14"/>
    </row>
    <row r="5" spans="1:14" s="16" customFormat="1" ht="18.75" customHeight="1" x14ac:dyDescent="0.3">
      <c r="A5" s="33"/>
      <c r="B5" s="33"/>
      <c r="C5" s="33"/>
      <c r="D5" s="33"/>
      <c r="E5" s="33"/>
      <c r="F5" s="33"/>
      <c r="G5" s="33"/>
      <c r="H5" s="33"/>
      <c r="I5" s="124" t="s">
        <v>124</v>
      </c>
    </row>
    <row r="6" spans="1:14" ht="15" customHeight="1" x14ac:dyDescent="0.2">
      <c r="A6" s="209" t="s">
        <v>3</v>
      </c>
      <c r="B6" s="211" t="s">
        <v>251</v>
      </c>
      <c r="C6" s="212"/>
      <c r="D6" s="211" t="s">
        <v>31</v>
      </c>
      <c r="E6" s="212"/>
      <c r="F6" s="212"/>
      <c r="G6" s="213"/>
      <c r="H6" s="211" t="s">
        <v>285</v>
      </c>
      <c r="I6" s="213"/>
    </row>
    <row r="7" spans="1:14" ht="75" customHeight="1" x14ac:dyDescent="0.2">
      <c r="A7" s="210"/>
      <c r="B7" s="125" t="s">
        <v>279</v>
      </c>
      <c r="C7" s="126" t="s">
        <v>280</v>
      </c>
      <c r="D7" s="126" t="s">
        <v>281</v>
      </c>
      <c r="E7" s="126" t="s">
        <v>282</v>
      </c>
      <c r="F7" s="126" t="s">
        <v>283</v>
      </c>
      <c r="G7" s="126" t="s">
        <v>284</v>
      </c>
      <c r="H7" s="125" t="s">
        <v>279</v>
      </c>
      <c r="I7" s="126" t="s">
        <v>280</v>
      </c>
    </row>
    <row r="8" spans="1:14" ht="15" customHeight="1" x14ac:dyDescent="0.2">
      <c r="A8" s="35" t="s">
        <v>48</v>
      </c>
      <c r="B8" s="37">
        <v>15584.236646775369</v>
      </c>
      <c r="C8" s="37">
        <v>16055.376443560397</v>
      </c>
      <c r="D8" s="37">
        <v>9912.4308020553308</v>
      </c>
      <c r="E8" s="37">
        <v>201.5</v>
      </c>
      <c r="F8" s="37">
        <v>10113.930802055329</v>
      </c>
      <c r="G8" s="37">
        <v>10047.427459858083</v>
      </c>
      <c r="H8" s="37">
        <v>-5671.8058447200401</v>
      </c>
      <c r="I8" s="37">
        <v>-6007.9489837023139</v>
      </c>
    </row>
    <row r="9" spans="1:14" ht="15" customHeight="1" x14ac:dyDescent="0.2">
      <c r="A9" s="34" t="s">
        <v>49</v>
      </c>
      <c r="B9" s="22">
        <v>20052.242479656732</v>
      </c>
      <c r="C9" s="22">
        <v>20637.417135016403</v>
      </c>
      <c r="D9" s="22">
        <v>12242.362688159566</v>
      </c>
      <c r="E9" s="22">
        <v>182.66792269098326</v>
      </c>
      <c r="F9" s="22">
        <v>12425.03061085055</v>
      </c>
      <c r="G9" s="22">
        <v>12498.579563783767</v>
      </c>
      <c r="H9" s="22">
        <v>-7809.8797914971674</v>
      </c>
      <c r="I9" s="22">
        <v>-8138.8375712326379</v>
      </c>
    </row>
    <row r="10" spans="1:14" ht="15" customHeight="1" x14ac:dyDescent="0.2">
      <c r="A10" s="35" t="s">
        <v>50</v>
      </c>
      <c r="B10" s="37">
        <v>17269.109718262273</v>
      </c>
      <c r="C10" s="37">
        <v>18291.016404057631</v>
      </c>
      <c r="D10" s="37">
        <v>12770.025012914541</v>
      </c>
      <c r="E10" s="37">
        <v>178.89429628484837</v>
      </c>
      <c r="F10" s="37">
        <v>12948.919309199389</v>
      </c>
      <c r="G10" s="37">
        <v>13106.439437131905</v>
      </c>
      <c r="H10" s="37">
        <v>-4499.0847053477346</v>
      </c>
      <c r="I10" s="37">
        <v>-5184.5769669257234</v>
      </c>
    </row>
    <row r="11" spans="1:14" ht="15" customHeight="1" x14ac:dyDescent="0.2">
      <c r="A11" s="34" t="s">
        <v>51</v>
      </c>
      <c r="B11" s="22">
        <v>16139.606512952872</v>
      </c>
      <c r="C11" s="22">
        <v>16811.130354591955</v>
      </c>
      <c r="D11" s="22">
        <v>11631.071573688045</v>
      </c>
      <c r="E11" s="22">
        <v>262.99541547937849</v>
      </c>
      <c r="F11" s="22">
        <v>11894.066989167422</v>
      </c>
      <c r="G11" s="22">
        <v>11910.709922744454</v>
      </c>
      <c r="H11" s="22">
        <v>-4508.5349392648277</v>
      </c>
      <c r="I11" s="22">
        <v>-4900.4204318475004</v>
      </c>
    </row>
    <row r="12" spans="1:14" ht="15" customHeight="1" x14ac:dyDescent="0.2">
      <c r="A12" s="35" t="s">
        <v>338</v>
      </c>
      <c r="B12" s="37">
        <v>18480.536018242401</v>
      </c>
      <c r="C12" s="37">
        <v>18841.414935872006</v>
      </c>
      <c r="D12" s="37">
        <v>12023.926563546302</v>
      </c>
      <c r="E12" s="37">
        <v>214.78553964018062</v>
      </c>
      <c r="F12" s="37">
        <v>12238.712103186483</v>
      </c>
      <c r="G12" s="37">
        <v>12771.993204914361</v>
      </c>
      <c r="H12" s="37">
        <v>-6456.6094546960821</v>
      </c>
      <c r="I12" s="37">
        <v>-6069.4217309576443</v>
      </c>
      <c r="K12" s="32"/>
      <c r="N12" s="158"/>
    </row>
    <row r="13" spans="1:14" ht="15" customHeight="1" x14ac:dyDescent="0.2">
      <c r="A13" s="34" t="s">
        <v>337</v>
      </c>
      <c r="B13" s="22">
        <v>21206.246799714609</v>
      </c>
      <c r="C13" s="22">
        <v>21479.940254633992</v>
      </c>
      <c r="D13" s="22">
        <v>13028.478609473168</v>
      </c>
      <c r="E13" s="22">
        <v>217.90784539924357</v>
      </c>
      <c r="F13" s="22">
        <v>13246.38645487241</v>
      </c>
      <c r="G13" s="22">
        <v>13581.374527316486</v>
      </c>
      <c r="H13" s="22">
        <v>-8177.7681902414424</v>
      </c>
      <c r="I13" s="22">
        <v>-7898.5657273175075</v>
      </c>
      <c r="K13" s="32"/>
      <c r="N13" s="158"/>
    </row>
    <row r="14" spans="1:14" ht="15" customHeight="1" x14ac:dyDescent="0.2">
      <c r="A14" s="8"/>
      <c r="B14" s="22"/>
      <c r="C14" s="22"/>
      <c r="D14" s="22"/>
      <c r="E14" s="22"/>
      <c r="F14" s="22"/>
      <c r="G14" s="22"/>
      <c r="H14" s="22"/>
      <c r="I14" s="22"/>
    </row>
    <row r="15" spans="1:14" ht="15" customHeight="1" x14ac:dyDescent="0.2">
      <c r="A15" s="9" t="s">
        <v>13</v>
      </c>
      <c r="B15" s="37">
        <v>4406.8274575369887</v>
      </c>
      <c r="C15" s="37">
        <v>4502.7001289045202</v>
      </c>
      <c r="D15" s="37">
        <v>2576.4873318874697</v>
      </c>
      <c r="E15" s="37">
        <v>42</v>
      </c>
      <c r="F15" s="37">
        <v>2618.4873318874697</v>
      </c>
      <c r="G15" s="37">
        <v>2649.6205622530974</v>
      </c>
      <c r="H15" s="37">
        <v>-1830.3401256495181</v>
      </c>
      <c r="I15" s="37">
        <v>-1853.0795666514227</v>
      </c>
    </row>
    <row r="16" spans="1:14" ht="15" customHeight="1" x14ac:dyDescent="0.2">
      <c r="A16" s="9" t="s">
        <v>14</v>
      </c>
      <c r="B16" s="37">
        <v>3108.7743703618107</v>
      </c>
      <c r="C16" s="37">
        <v>3171.8810635328105</v>
      </c>
      <c r="D16" s="37">
        <v>1785.8557696518783</v>
      </c>
      <c r="E16" s="37">
        <v>34</v>
      </c>
      <c r="F16" s="37">
        <v>1819.8557696518783</v>
      </c>
      <c r="G16" s="37">
        <v>1763.1329174114449</v>
      </c>
      <c r="H16" s="37">
        <v>-1322.9186007099324</v>
      </c>
      <c r="I16" s="37">
        <v>-1408.7481461213658</v>
      </c>
    </row>
    <row r="17" spans="1:9" ht="15" customHeight="1" x14ac:dyDescent="0.2">
      <c r="A17" s="9" t="s">
        <v>15</v>
      </c>
      <c r="B17" s="37">
        <v>3916.8704613685713</v>
      </c>
      <c r="C17" s="37">
        <v>4107.6673193707502</v>
      </c>
      <c r="D17" s="37">
        <v>3039.1404168808931</v>
      </c>
      <c r="E17" s="37">
        <v>88.199999999999989</v>
      </c>
      <c r="F17" s="37">
        <v>3127.3404168808929</v>
      </c>
      <c r="G17" s="37">
        <v>3032.291820418026</v>
      </c>
      <c r="H17" s="37">
        <v>-877.73004448767801</v>
      </c>
      <c r="I17" s="37">
        <v>-1075.3754989527242</v>
      </c>
    </row>
    <row r="18" spans="1:9" ht="15" customHeight="1" x14ac:dyDescent="0.2">
      <c r="A18" s="9" t="s">
        <v>16</v>
      </c>
      <c r="B18" s="37">
        <v>4151.7643575080001</v>
      </c>
      <c r="C18" s="37">
        <v>4273.1279317523176</v>
      </c>
      <c r="D18" s="37">
        <v>2510.9472836350888</v>
      </c>
      <c r="E18" s="37">
        <v>37.299999999999997</v>
      </c>
      <c r="F18" s="37">
        <v>2548.2472836350889</v>
      </c>
      <c r="G18" s="37">
        <v>2602.3821597755168</v>
      </c>
      <c r="H18" s="37">
        <v>-1640.8170738729116</v>
      </c>
      <c r="I18" s="37">
        <v>-1670.7457719768008</v>
      </c>
    </row>
    <row r="19" spans="1:9" ht="15" customHeight="1" x14ac:dyDescent="0.2">
      <c r="A19" s="8" t="s">
        <v>17</v>
      </c>
      <c r="B19" s="22">
        <v>4873.8295641195155</v>
      </c>
      <c r="C19" s="22">
        <v>5041.126007171667</v>
      </c>
      <c r="D19" s="22">
        <v>2900.4097277991468</v>
      </c>
      <c r="E19" s="22">
        <v>30.404594087039023</v>
      </c>
      <c r="F19" s="22">
        <v>2930.814321886186</v>
      </c>
      <c r="G19" s="22">
        <v>2982.160707622229</v>
      </c>
      <c r="H19" s="22">
        <v>-1973.4198363203682</v>
      </c>
      <c r="I19" s="22">
        <v>-2058.965299549438</v>
      </c>
    </row>
    <row r="20" spans="1:9" ht="15" customHeight="1" x14ac:dyDescent="0.2">
      <c r="A20" s="8" t="s">
        <v>18</v>
      </c>
      <c r="B20" s="22">
        <v>4844.1393256824722</v>
      </c>
      <c r="C20" s="22">
        <v>4973.6104150432957</v>
      </c>
      <c r="D20" s="22">
        <v>2661.3131634370752</v>
      </c>
      <c r="E20" s="22">
        <v>51.542344225501083</v>
      </c>
      <c r="F20" s="22">
        <v>2712.8555076625762</v>
      </c>
      <c r="G20" s="22">
        <v>2716.9021816311106</v>
      </c>
      <c r="H20" s="22">
        <v>-2182.8261622453974</v>
      </c>
      <c r="I20" s="22">
        <v>-2256.708233412186</v>
      </c>
    </row>
    <row r="21" spans="1:9" ht="15" customHeight="1" x14ac:dyDescent="0.2">
      <c r="A21" s="8" t="s">
        <v>19</v>
      </c>
      <c r="B21" s="22">
        <v>4777.8948838407377</v>
      </c>
      <c r="C21" s="22">
        <v>4922.7959029408412</v>
      </c>
      <c r="D21" s="22">
        <v>3178.7341408780758</v>
      </c>
      <c r="E21" s="22">
        <v>46.074133308253181</v>
      </c>
      <c r="F21" s="22">
        <v>3224.8082741863291</v>
      </c>
      <c r="G21" s="22">
        <v>3239.4258286615968</v>
      </c>
      <c r="H21" s="22">
        <v>-1599.1607429626615</v>
      </c>
      <c r="I21" s="22">
        <v>-1683.3700742792444</v>
      </c>
    </row>
    <row r="22" spans="1:9" ht="15" customHeight="1" x14ac:dyDescent="0.2">
      <c r="A22" s="8" t="s">
        <v>20</v>
      </c>
      <c r="B22" s="22">
        <v>5556.3787060140112</v>
      </c>
      <c r="C22" s="22">
        <v>5699.8848098605977</v>
      </c>
      <c r="D22" s="22">
        <v>3501.90565604527</v>
      </c>
      <c r="E22" s="22">
        <v>54.646851070189989</v>
      </c>
      <c r="F22" s="22">
        <v>3556.5525071154598</v>
      </c>
      <c r="G22" s="22">
        <v>3560.0908458688291</v>
      </c>
      <c r="H22" s="22">
        <v>-2054.4730499687412</v>
      </c>
      <c r="I22" s="22">
        <v>-2139.7939639917695</v>
      </c>
    </row>
    <row r="23" spans="1:9" ht="15" customHeight="1" x14ac:dyDescent="0.2">
      <c r="A23" s="9" t="s">
        <v>21</v>
      </c>
      <c r="B23" s="37">
        <v>5378.5903137938767</v>
      </c>
      <c r="C23" s="37">
        <v>5651.2452337607683</v>
      </c>
      <c r="D23" s="37">
        <v>3109.2725381176606</v>
      </c>
      <c r="E23" s="37">
        <v>35.431074083622796</v>
      </c>
      <c r="F23" s="37">
        <v>3144.7036122012832</v>
      </c>
      <c r="G23" s="37">
        <v>3254.1733473629074</v>
      </c>
      <c r="H23" s="37">
        <v>-2269.3177756762161</v>
      </c>
      <c r="I23" s="37">
        <v>-2397.0718863978609</v>
      </c>
    </row>
    <row r="24" spans="1:9" ht="15" customHeight="1" x14ac:dyDescent="0.2">
      <c r="A24" s="9" t="s">
        <v>22</v>
      </c>
      <c r="B24" s="37">
        <v>4109.8353137939575</v>
      </c>
      <c r="C24" s="37">
        <v>4376.9013803251619</v>
      </c>
      <c r="D24" s="37">
        <v>3103.7069903346919</v>
      </c>
      <c r="E24" s="37">
        <v>33.224339199118397</v>
      </c>
      <c r="F24" s="37">
        <v>3136.9313295338106</v>
      </c>
      <c r="G24" s="37">
        <v>3267.9796624864607</v>
      </c>
      <c r="H24" s="37">
        <v>-1006.128323459266</v>
      </c>
      <c r="I24" s="37">
        <v>-1108.9217178387014</v>
      </c>
    </row>
    <row r="25" spans="1:9" ht="15" customHeight="1" x14ac:dyDescent="0.2">
      <c r="A25" s="9" t="s">
        <v>23</v>
      </c>
      <c r="B25" s="37">
        <v>3770.5421995038728</v>
      </c>
      <c r="C25" s="37">
        <v>4057.0772593446181</v>
      </c>
      <c r="D25" s="37">
        <v>3436.4240944884959</v>
      </c>
      <c r="E25" s="37">
        <v>50.925429372446679</v>
      </c>
      <c r="F25" s="37">
        <v>3487.349523860943</v>
      </c>
      <c r="G25" s="37">
        <v>3469.7990579696511</v>
      </c>
      <c r="H25" s="37">
        <v>-334.11810501537684</v>
      </c>
      <c r="I25" s="37">
        <v>-587.27820137496701</v>
      </c>
    </row>
    <row r="26" spans="1:9" ht="15" customHeight="1" x14ac:dyDescent="0.2">
      <c r="A26" s="9" t="s">
        <v>24</v>
      </c>
      <c r="B26" s="37">
        <v>4010.1418911705687</v>
      </c>
      <c r="C26" s="37">
        <v>4205.7925306270809</v>
      </c>
      <c r="D26" s="37">
        <v>3120.6213899736922</v>
      </c>
      <c r="E26" s="37">
        <v>59.313453629660501</v>
      </c>
      <c r="F26" s="37">
        <v>3179.9348436033524</v>
      </c>
      <c r="G26" s="37">
        <v>3114.4873693128866</v>
      </c>
      <c r="H26" s="37">
        <v>-889.52050119687669</v>
      </c>
      <c r="I26" s="37">
        <v>-1091.3051613141947</v>
      </c>
    </row>
    <row r="27" spans="1:9" ht="15" customHeight="1" x14ac:dyDescent="0.2">
      <c r="A27" s="8" t="s">
        <v>25</v>
      </c>
      <c r="B27" s="22">
        <v>3719.6076101328908</v>
      </c>
      <c r="C27" s="22">
        <v>3893.9554799665657</v>
      </c>
      <c r="D27" s="22">
        <v>2956.3437761538439</v>
      </c>
      <c r="E27" s="22">
        <v>59.603394781103923</v>
      </c>
      <c r="F27" s="22">
        <v>3015.9471709349482</v>
      </c>
      <c r="G27" s="22">
        <v>2997.5841040518198</v>
      </c>
      <c r="H27" s="22">
        <v>-763.26383397904647</v>
      </c>
      <c r="I27" s="22">
        <v>-896.37137591474675</v>
      </c>
    </row>
    <row r="28" spans="1:9" ht="15" customHeight="1" x14ac:dyDescent="0.2">
      <c r="A28" s="8" t="s">
        <v>26</v>
      </c>
      <c r="B28" s="22">
        <v>4130.4180097974549</v>
      </c>
      <c r="C28" s="22">
        <v>4266.54781544671</v>
      </c>
      <c r="D28" s="22">
        <v>2790.0994728691549</v>
      </c>
      <c r="E28" s="22">
        <v>97.05763577018547</v>
      </c>
      <c r="F28" s="22">
        <v>2887.1571086393405</v>
      </c>
      <c r="G28" s="22">
        <v>2873.4421248950275</v>
      </c>
      <c r="H28" s="22">
        <v>-1340.3185369283001</v>
      </c>
      <c r="I28" s="22">
        <v>-1393.105690551683</v>
      </c>
    </row>
    <row r="29" spans="1:9" ht="15" customHeight="1" x14ac:dyDescent="0.2">
      <c r="A29" s="8" t="s">
        <v>27</v>
      </c>
      <c r="B29" s="22">
        <v>4005.2099609596544</v>
      </c>
      <c r="C29" s="22">
        <v>4162.8599213136577</v>
      </c>
      <c r="D29" s="22">
        <v>3070.3831440440467</v>
      </c>
      <c r="E29" s="22">
        <v>49.370897807392467</v>
      </c>
      <c r="F29" s="22">
        <v>3119.7540418514391</v>
      </c>
      <c r="G29" s="22">
        <v>3110.9912345712146</v>
      </c>
      <c r="H29" s="22">
        <v>-934.82681691560799</v>
      </c>
      <c r="I29" s="22">
        <v>-1051.8686867424428</v>
      </c>
    </row>
    <row r="30" spans="1:9" ht="15" customHeight="1" x14ac:dyDescent="0.2">
      <c r="A30" s="8" t="s">
        <v>28</v>
      </c>
      <c r="B30" s="22">
        <v>4284.3709320628705</v>
      </c>
      <c r="C30" s="22">
        <v>4487.7671378650193</v>
      </c>
      <c r="D30" s="22">
        <v>2814.2451806209965</v>
      </c>
      <c r="E30" s="22">
        <v>56.963487120696634</v>
      </c>
      <c r="F30" s="22">
        <v>2871.2086677416933</v>
      </c>
      <c r="G30" s="22">
        <v>2928.6924592263908</v>
      </c>
      <c r="H30" s="22">
        <v>-1470.1257514418735</v>
      </c>
      <c r="I30" s="22">
        <v>-1559.074678638628</v>
      </c>
    </row>
    <row r="31" spans="1:9" ht="15" customHeight="1" x14ac:dyDescent="0.2">
      <c r="A31" s="9" t="s">
        <v>369</v>
      </c>
      <c r="B31" s="37">
        <v>4197.4835532334791</v>
      </c>
      <c r="C31" s="37">
        <v>4397.9071989007425</v>
      </c>
      <c r="D31" s="37">
        <v>2945.1473766622435</v>
      </c>
      <c r="E31" s="37">
        <v>78.206140127139278</v>
      </c>
      <c r="F31" s="37">
        <v>3023.3535167893829</v>
      </c>
      <c r="G31" s="37">
        <v>3178.5237299642222</v>
      </c>
      <c r="H31" s="37">
        <v>-1252.3361765712357</v>
      </c>
      <c r="I31" s="37">
        <v>-1219.3834689365199</v>
      </c>
    </row>
    <row r="32" spans="1:9" ht="15" customHeight="1" x14ac:dyDescent="0.2">
      <c r="A32" s="9" t="s">
        <v>370</v>
      </c>
      <c r="B32" s="37">
        <v>4291.764545043452</v>
      </c>
      <c r="C32" s="37">
        <v>4286.4628791806135</v>
      </c>
      <c r="D32" s="37">
        <v>2805.2335387414582</v>
      </c>
      <c r="E32" s="37">
        <v>64.715078505510789</v>
      </c>
      <c r="F32" s="37">
        <v>2869.9486172469688</v>
      </c>
      <c r="G32" s="37">
        <v>2965.8577402281094</v>
      </c>
      <c r="H32" s="37">
        <v>-1486.531006301994</v>
      </c>
      <c r="I32" s="37">
        <v>-1320.6051389525037</v>
      </c>
    </row>
    <row r="33" spans="1:9" ht="15" customHeight="1" x14ac:dyDescent="0.2">
      <c r="A33" s="9" t="s">
        <v>371</v>
      </c>
      <c r="B33" s="37">
        <v>4929.0490972190491</v>
      </c>
      <c r="C33" s="37">
        <v>5033.8889721695559</v>
      </c>
      <c r="D33" s="37">
        <v>3190.8935258707775</v>
      </c>
      <c r="E33" s="37">
        <v>40.909159517342481</v>
      </c>
      <c r="F33" s="37">
        <v>3231.8026853881197</v>
      </c>
      <c r="G33" s="37">
        <v>3373.6989577561021</v>
      </c>
      <c r="H33" s="37">
        <v>-1738.1555713482717</v>
      </c>
      <c r="I33" s="37">
        <v>-1660.1900144134531</v>
      </c>
    </row>
    <row r="34" spans="1:9" ht="15" customHeight="1" x14ac:dyDescent="0.2">
      <c r="A34" s="9" t="s">
        <v>372</v>
      </c>
      <c r="B34" s="37">
        <v>5062.2388227464016</v>
      </c>
      <c r="C34" s="37">
        <v>5123.1558856210977</v>
      </c>
      <c r="D34" s="37">
        <v>3082.6521222718202</v>
      </c>
      <c r="E34" s="37">
        <v>30.955161490188068</v>
      </c>
      <c r="F34" s="37">
        <v>3113.6072837620081</v>
      </c>
      <c r="G34" s="37">
        <v>3253.9127769659285</v>
      </c>
      <c r="H34" s="37">
        <v>-1979.586700474581</v>
      </c>
      <c r="I34" s="37">
        <v>-1869.2431086551692</v>
      </c>
    </row>
    <row r="35" spans="1:9" ht="15" customHeight="1" x14ac:dyDescent="0.2">
      <c r="A35" s="8" t="s">
        <v>246</v>
      </c>
      <c r="B35" s="22">
        <v>4847.4044657021768</v>
      </c>
      <c r="C35" s="22">
        <v>4887.0355531492496</v>
      </c>
      <c r="D35" s="22">
        <v>3158.7774065435324</v>
      </c>
      <c r="E35" s="22">
        <v>19.936449351267449</v>
      </c>
      <c r="F35" s="22">
        <v>3178.7138558948</v>
      </c>
      <c r="G35" s="22">
        <v>3347.4127321060378</v>
      </c>
      <c r="H35" s="22">
        <v>-1688.6270591586435</v>
      </c>
      <c r="I35" s="22">
        <v>-1539.6228210432114</v>
      </c>
    </row>
    <row r="36" spans="1:9" ht="15" customHeight="1" x14ac:dyDescent="0.2">
      <c r="A36" s="8" t="s">
        <v>247</v>
      </c>
      <c r="B36" s="22">
        <v>4825.7064947763602</v>
      </c>
      <c r="C36" s="22">
        <v>4875.1498778906989</v>
      </c>
      <c r="D36" s="22">
        <v>3022.86687942149</v>
      </c>
      <c r="E36" s="22">
        <v>38.300174370447017</v>
      </c>
      <c r="F36" s="22">
        <v>3061.1670537919372</v>
      </c>
      <c r="G36" s="22">
        <v>3144.7115169660133</v>
      </c>
      <c r="H36" s="22">
        <v>-1802.8396153548704</v>
      </c>
      <c r="I36" s="22">
        <v>-1730.4383609246856</v>
      </c>
    </row>
    <row r="37" spans="1:9" ht="15" customHeight="1" x14ac:dyDescent="0.2">
      <c r="A37" s="8" t="s">
        <v>339</v>
      </c>
      <c r="B37" s="22">
        <v>5571.9385851290335</v>
      </c>
      <c r="C37" s="22">
        <v>5627.3025041800429</v>
      </c>
      <c r="D37" s="22">
        <v>3632.6486926762364</v>
      </c>
      <c r="E37" s="22">
        <v>97.364816763711687</v>
      </c>
      <c r="F37" s="22">
        <v>3730.0135094399484</v>
      </c>
      <c r="G37" s="22">
        <v>3722.9896787296825</v>
      </c>
      <c r="H37" s="22">
        <v>-1939.2898924527972</v>
      </c>
      <c r="I37" s="22">
        <v>-1904.3128254503611</v>
      </c>
    </row>
    <row r="38" spans="1:9" ht="15" customHeight="1" x14ac:dyDescent="0.2">
      <c r="A38" s="8" t="s">
        <v>340</v>
      </c>
      <c r="B38" s="22">
        <v>5961.197254107039</v>
      </c>
      <c r="C38" s="22">
        <v>6090.4523194140011</v>
      </c>
      <c r="D38" s="22">
        <v>3214.1856308319084</v>
      </c>
      <c r="E38" s="22">
        <v>62.306404913817403</v>
      </c>
      <c r="F38" s="22">
        <v>3276.4920357457254</v>
      </c>
      <c r="G38" s="22">
        <v>3366.2605995147524</v>
      </c>
      <c r="H38" s="22">
        <v>-2747.0116232751316</v>
      </c>
      <c r="I38" s="22">
        <v>-2724.1917198992492</v>
      </c>
    </row>
    <row r="39" spans="1:9" ht="15" customHeight="1" x14ac:dyDescent="0.2">
      <c r="A39" s="9" t="s">
        <v>384</v>
      </c>
      <c r="B39" s="37">
        <v>5525.0800987288712</v>
      </c>
      <c r="C39" s="37">
        <v>5771.162037645754</v>
      </c>
      <c r="D39" s="37">
        <v>3259.6921104431303</v>
      </c>
      <c r="E39" s="37">
        <v>44.630064151088199</v>
      </c>
      <c r="F39" s="37">
        <v>3304.3221745942192</v>
      </c>
      <c r="G39" s="37">
        <v>3461.0435547809257</v>
      </c>
      <c r="H39" s="37">
        <v>-2265.3879882857409</v>
      </c>
      <c r="I39" s="37">
        <v>-2310.1184828648284</v>
      </c>
    </row>
    <row r="40" spans="1:9" ht="15" customHeight="1" x14ac:dyDescent="0.2">
      <c r="A40" s="8"/>
      <c r="B40" s="22"/>
      <c r="C40" s="22"/>
      <c r="D40" s="22"/>
      <c r="E40" s="22"/>
      <c r="F40" s="22"/>
      <c r="G40" s="22"/>
      <c r="H40" s="22"/>
      <c r="I40" s="22"/>
    </row>
    <row r="41" spans="1:9" ht="15" customHeight="1" x14ac:dyDescent="0.2">
      <c r="A41" s="10">
        <v>43831</v>
      </c>
      <c r="B41" s="37">
        <v>1755.1584611385883</v>
      </c>
      <c r="C41" s="37">
        <v>1735.327088426726</v>
      </c>
      <c r="D41" s="37">
        <v>961.20436041511846</v>
      </c>
      <c r="E41" s="37">
        <v>11.9</v>
      </c>
      <c r="F41" s="37">
        <v>973.10436041511844</v>
      </c>
      <c r="G41" s="37">
        <v>1004.8850926174435</v>
      </c>
      <c r="H41" s="37">
        <v>-793.95410072346976</v>
      </c>
      <c r="I41" s="37">
        <v>-730.4419958092825</v>
      </c>
    </row>
    <row r="42" spans="1:9" ht="15" customHeight="1" x14ac:dyDescent="0.2">
      <c r="A42" s="10">
        <v>43862</v>
      </c>
      <c r="B42" s="37">
        <v>1501.3702715589318</v>
      </c>
      <c r="C42" s="37">
        <v>1562.3238369901699</v>
      </c>
      <c r="D42" s="37">
        <v>969.30299260641482</v>
      </c>
      <c r="E42" s="37">
        <v>25.5</v>
      </c>
      <c r="F42" s="37">
        <v>994.80299260641482</v>
      </c>
      <c r="G42" s="37">
        <v>988.51702012575663</v>
      </c>
      <c r="H42" s="37">
        <v>-532.06727895251686</v>
      </c>
      <c r="I42" s="37">
        <v>-573.80681686441324</v>
      </c>
    </row>
    <row r="43" spans="1:9" ht="15" customHeight="1" x14ac:dyDescent="0.2">
      <c r="A43" s="10">
        <v>43891</v>
      </c>
      <c r="B43" s="37">
        <v>1150.2987248394682</v>
      </c>
      <c r="C43" s="37">
        <v>1205.0492034876243</v>
      </c>
      <c r="D43" s="37">
        <v>645.97997886593669</v>
      </c>
      <c r="E43" s="37">
        <v>4.5999999999999996</v>
      </c>
      <c r="F43" s="37">
        <v>650.57997886593671</v>
      </c>
      <c r="G43" s="37">
        <v>656.21844950989725</v>
      </c>
      <c r="H43" s="37">
        <v>-504.31874597353135</v>
      </c>
      <c r="I43" s="37">
        <v>-548.83075397772689</v>
      </c>
    </row>
    <row r="44" spans="1:9" ht="15" customHeight="1" x14ac:dyDescent="0.2">
      <c r="A44" s="10">
        <v>43922</v>
      </c>
      <c r="B44" s="37">
        <v>1107.2908828166189</v>
      </c>
      <c r="C44" s="37">
        <v>1122.60696271443</v>
      </c>
      <c r="D44" s="37">
        <v>277.39716354524995</v>
      </c>
      <c r="E44" s="37">
        <v>11.1</v>
      </c>
      <c r="F44" s="37">
        <v>288.49716354524998</v>
      </c>
      <c r="G44" s="37">
        <v>282.31034435501653</v>
      </c>
      <c r="H44" s="37">
        <v>-829.89371927136904</v>
      </c>
      <c r="I44" s="37">
        <v>-840.2966183594134</v>
      </c>
    </row>
    <row r="45" spans="1:9" ht="15" customHeight="1" x14ac:dyDescent="0.2">
      <c r="A45" s="10">
        <v>43952</v>
      </c>
      <c r="B45" s="37">
        <v>977.74916476193005</v>
      </c>
      <c r="C45" s="37">
        <v>993.82281287485694</v>
      </c>
      <c r="D45" s="37">
        <v>602.43711161738486</v>
      </c>
      <c r="E45" s="37">
        <v>11.5</v>
      </c>
      <c r="F45" s="37">
        <v>613.93711161738486</v>
      </c>
      <c r="G45" s="37">
        <v>586.68727406604091</v>
      </c>
      <c r="H45" s="37">
        <v>-375.31205314454525</v>
      </c>
      <c r="I45" s="37">
        <v>-407.13553880881608</v>
      </c>
    </row>
    <row r="46" spans="1:9" ht="15" customHeight="1" x14ac:dyDescent="0.2">
      <c r="A46" s="10">
        <v>43983</v>
      </c>
      <c r="B46" s="37">
        <v>1023.7343227832616</v>
      </c>
      <c r="C46" s="37">
        <v>1055.4512879435238</v>
      </c>
      <c r="D46" s="37">
        <v>906.02149448924342</v>
      </c>
      <c r="E46" s="37">
        <v>11.4</v>
      </c>
      <c r="F46" s="37">
        <v>917.4214944892434</v>
      </c>
      <c r="G46" s="37">
        <v>894.13529899038747</v>
      </c>
      <c r="H46" s="37">
        <v>-117.71282829401818</v>
      </c>
      <c r="I46" s="37">
        <v>-161.31598895313641</v>
      </c>
    </row>
    <row r="47" spans="1:9" ht="15" customHeight="1" x14ac:dyDescent="0.2">
      <c r="A47" s="10">
        <v>44013</v>
      </c>
      <c r="B47" s="37">
        <v>1211.2067920679563</v>
      </c>
      <c r="C47" s="37">
        <v>1293.6943139058217</v>
      </c>
      <c r="D47" s="37">
        <v>1090.183618916893</v>
      </c>
      <c r="E47" s="37">
        <v>50.1</v>
      </c>
      <c r="F47" s="37">
        <v>1140.2836189168929</v>
      </c>
      <c r="G47" s="37">
        <v>1085.0210746545581</v>
      </c>
      <c r="H47" s="37">
        <v>-121.0231731510632</v>
      </c>
      <c r="I47" s="37">
        <v>-208.6732392512634</v>
      </c>
    </row>
    <row r="48" spans="1:9" ht="15" customHeight="1" x14ac:dyDescent="0.2">
      <c r="A48" s="10">
        <v>44044</v>
      </c>
      <c r="B48" s="37">
        <v>1227.9444770000525</v>
      </c>
      <c r="C48" s="37">
        <v>1289.0880100856452</v>
      </c>
      <c r="D48" s="37">
        <v>947.68493349429048</v>
      </c>
      <c r="E48" s="37">
        <v>23.5</v>
      </c>
      <c r="F48" s="37">
        <v>971.18493349429048</v>
      </c>
      <c r="G48" s="37">
        <v>947.2286171577183</v>
      </c>
      <c r="H48" s="37">
        <v>-280.25954350576194</v>
      </c>
      <c r="I48" s="37">
        <v>-341.8593929279271</v>
      </c>
    </row>
    <row r="49" spans="1:9" ht="15" customHeight="1" x14ac:dyDescent="0.2">
      <c r="A49" s="10">
        <v>44075</v>
      </c>
      <c r="B49" s="37">
        <v>1477.7191923005626</v>
      </c>
      <c r="C49" s="37">
        <v>1524.8849953792833</v>
      </c>
      <c r="D49" s="37">
        <v>1001.2718644697098</v>
      </c>
      <c r="E49" s="37">
        <v>14.6</v>
      </c>
      <c r="F49" s="37">
        <v>1015.8718644697099</v>
      </c>
      <c r="G49" s="37">
        <v>1000.0421286057493</v>
      </c>
      <c r="H49" s="37">
        <v>-476.44732783085283</v>
      </c>
      <c r="I49" s="37">
        <v>-524.84286677353384</v>
      </c>
    </row>
    <row r="50" spans="1:9" ht="15" customHeight="1" x14ac:dyDescent="0.2">
      <c r="A50" s="10">
        <v>44105</v>
      </c>
      <c r="B50" s="37">
        <v>1348.8850247156358</v>
      </c>
      <c r="C50" s="37">
        <v>1362.7803874142035</v>
      </c>
      <c r="D50" s="37">
        <v>831.72213501129636</v>
      </c>
      <c r="E50" s="37">
        <v>8.5</v>
      </c>
      <c r="F50" s="37">
        <v>840.22213501129636</v>
      </c>
      <c r="G50" s="37">
        <v>854.27537094272611</v>
      </c>
      <c r="H50" s="37">
        <v>-517.16288970433948</v>
      </c>
      <c r="I50" s="37">
        <v>-508.50501647147735</v>
      </c>
    </row>
    <row r="51" spans="1:9" ht="15" customHeight="1" x14ac:dyDescent="0.2">
      <c r="A51" s="10">
        <v>44136</v>
      </c>
      <c r="B51" s="37">
        <v>1363.8467220580103</v>
      </c>
      <c r="C51" s="37">
        <v>1383.7005110189446</v>
      </c>
      <c r="D51" s="37">
        <v>747.57624591829995</v>
      </c>
      <c r="E51" s="37">
        <v>7.9</v>
      </c>
      <c r="F51" s="37">
        <v>755.47624591829992</v>
      </c>
      <c r="G51" s="37">
        <v>783.65594455938458</v>
      </c>
      <c r="H51" s="37">
        <v>-616.27047613971035</v>
      </c>
      <c r="I51" s="37">
        <v>-600.04456645955997</v>
      </c>
    </row>
    <row r="52" spans="1:9" ht="15" customHeight="1" x14ac:dyDescent="0.2">
      <c r="A52" s="10">
        <v>44166</v>
      </c>
      <c r="B52" s="37">
        <v>1439.032610734354</v>
      </c>
      <c r="C52" s="37">
        <v>1526.6470333191699</v>
      </c>
      <c r="D52" s="37">
        <v>931.64890270549233</v>
      </c>
      <c r="E52" s="37">
        <v>20.9</v>
      </c>
      <c r="F52" s="37">
        <v>952.54890270549231</v>
      </c>
      <c r="G52" s="37">
        <v>964.45084427340635</v>
      </c>
      <c r="H52" s="37">
        <v>-507.38370802886169</v>
      </c>
      <c r="I52" s="37">
        <v>-562.1961890457635</v>
      </c>
    </row>
    <row r="53" spans="1:9" ht="15" customHeight="1" x14ac:dyDescent="0.2">
      <c r="A53" s="149">
        <v>44197</v>
      </c>
      <c r="B53" s="22">
        <v>1543.8055751586157</v>
      </c>
      <c r="C53" s="22">
        <v>1591.5901970507055</v>
      </c>
      <c r="D53" s="22">
        <v>908.0661220482981</v>
      </c>
      <c r="E53" s="22">
        <v>10.105072853529654</v>
      </c>
      <c r="F53" s="22">
        <v>918.17119490182779</v>
      </c>
      <c r="G53" s="22">
        <v>936.66228148543848</v>
      </c>
      <c r="H53" s="22">
        <v>-635.73945311031764</v>
      </c>
      <c r="I53" s="22">
        <v>-654.92791556526697</v>
      </c>
    </row>
    <row r="54" spans="1:9" ht="15" customHeight="1" x14ac:dyDescent="0.2">
      <c r="A54" s="149">
        <v>44228</v>
      </c>
      <c r="B54" s="22">
        <v>1452.1217042147923</v>
      </c>
      <c r="C54" s="22">
        <v>1523.6039725920371</v>
      </c>
      <c r="D54" s="22">
        <v>926.2118144089784</v>
      </c>
      <c r="E54" s="22">
        <v>9.0725786624687927</v>
      </c>
      <c r="F54" s="22">
        <v>935.2843930714472</v>
      </c>
      <c r="G54" s="22">
        <v>951.7245740484459</v>
      </c>
      <c r="H54" s="22">
        <v>-525.90988980581392</v>
      </c>
      <c r="I54" s="22">
        <v>-571.87939854359115</v>
      </c>
    </row>
    <row r="55" spans="1:9" ht="15" customHeight="1" x14ac:dyDescent="0.2">
      <c r="A55" s="149">
        <v>44256</v>
      </c>
      <c r="B55" s="22">
        <v>1877.9022847461072</v>
      </c>
      <c r="C55" s="22">
        <v>1925.9318375289247</v>
      </c>
      <c r="D55" s="22">
        <v>1066.1317913418704</v>
      </c>
      <c r="E55" s="22">
        <v>11.226942571040574</v>
      </c>
      <c r="F55" s="22">
        <v>1077.358733912911</v>
      </c>
      <c r="G55" s="22">
        <v>1093.7738520883445</v>
      </c>
      <c r="H55" s="22">
        <v>-811.77049340423662</v>
      </c>
      <c r="I55" s="22">
        <v>-832.15798544057998</v>
      </c>
    </row>
    <row r="56" spans="1:9" ht="15" customHeight="1" x14ac:dyDescent="0.2">
      <c r="A56" s="149">
        <v>44287</v>
      </c>
      <c r="B56" s="22">
        <v>1656.7141455554822</v>
      </c>
      <c r="C56" s="22">
        <v>1706.9720121710045</v>
      </c>
      <c r="D56" s="22">
        <v>798.93583465452355</v>
      </c>
      <c r="E56" s="22">
        <v>13.507833165335345</v>
      </c>
      <c r="F56" s="22">
        <v>812.44366781985889</v>
      </c>
      <c r="G56" s="22">
        <v>818.18426020928609</v>
      </c>
      <c r="H56" s="22">
        <v>-857.77831090095879</v>
      </c>
      <c r="I56" s="22">
        <v>-888.78775196171853</v>
      </c>
    </row>
    <row r="57" spans="1:9" ht="15" customHeight="1" x14ac:dyDescent="0.2">
      <c r="A57" s="149">
        <v>44317</v>
      </c>
      <c r="B57" s="22">
        <v>1476.6725184645916</v>
      </c>
      <c r="C57" s="22">
        <v>1607.4340540931253</v>
      </c>
      <c r="D57" s="22">
        <v>884.21933771476472</v>
      </c>
      <c r="E57" s="22">
        <v>11.105036513319909</v>
      </c>
      <c r="F57" s="22">
        <v>895.32437422808459</v>
      </c>
      <c r="G57" s="22">
        <v>891.70322012049758</v>
      </c>
      <c r="H57" s="22">
        <v>-592.45318074982686</v>
      </c>
      <c r="I57" s="22">
        <v>-715.73083397262781</v>
      </c>
    </row>
    <row r="58" spans="1:9" ht="15" customHeight="1" x14ac:dyDescent="0.2">
      <c r="A58" s="149">
        <v>44348</v>
      </c>
      <c r="B58" s="22">
        <v>1710.7526616623986</v>
      </c>
      <c r="C58" s="22">
        <v>1659.2043487791664</v>
      </c>
      <c r="D58" s="22">
        <v>978.15799106778684</v>
      </c>
      <c r="E58" s="22">
        <v>26.929474546845825</v>
      </c>
      <c r="F58" s="22">
        <v>1005.0874656146327</v>
      </c>
      <c r="G58" s="22">
        <v>1007.0147013013269</v>
      </c>
      <c r="H58" s="22">
        <v>-732.59467059461167</v>
      </c>
      <c r="I58" s="22">
        <v>-652.18964747783946</v>
      </c>
    </row>
    <row r="59" spans="1:9" ht="15" customHeight="1" x14ac:dyDescent="0.2">
      <c r="A59" s="149">
        <v>44378</v>
      </c>
      <c r="B59" s="22">
        <v>1666.7673400297433</v>
      </c>
      <c r="C59" s="22">
        <v>1710.0957416175922</v>
      </c>
      <c r="D59" s="22">
        <v>1099.4070714999364</v>
      </c>
      <c r="E59" s="22">
        <v>13.882068479601235</v>
      </c>
      <c r="F59" s="22">
        <v>1113.2891399795376</v>
      </c>
      <c r="G59" s="22">
        <v>1103.9334293875042</v>
      </c>
      <c r="H59" s="22">
        <v>-567.36026852980694</v>
      </c>
      <c r="I59" s="22">
        <v>-606.16231223008799</v>
      </c>
    </row>
    <row r="60" spans="1:9" ht="15" customHeight="1" x14ac:dyDescent="0.2">
      <c r="A60" s="149">
        <v>44409</v>
      </c>
      <c r="B60" s="22">
        <v>1617.5979129111981</v>
      </c>
      <c r="C60" s="22">
        <v>1686.6675039530146</v>
      </c>
      <c r="D60" s="22">
        <v>1083.5575471691525</v>
      </c>
      <c r="E60" s="22">
        <v>12.987145012506453</v>
      </c>
      <c r="F60" s="22">
        <v>1096.544692181659</v>
      </c>
      <c r="G60" s="22">
        <v>1101.0348746447219</v>
      </c>
      <c r="H60" s="22">
        <v>-534.04036574204554</v>
      </c>
      <c r="I60" s="22">
        <v>-585.63262930829274</v>
      </c>
    </row>
    <row r="61" spans="1:9" ht="15" customHeight="1" x14ac:dyDescent="0.2">
      <c r="A61" s="149">
        <v>44440</v>
      </c>
      <c r="B61" s="22">
        <v>1493.5296308997958</v>
      </c>
      <c r="C61" s="22">
        <v>1526.0326573702341</v>
      </c>
      <c r="D61" s="22">
        <v>995.76952220898693</v>
      </c>
      <c r="E61" s="22">
        <v>19.204919816145491</v>
      </c>
      <c r="F61" s="22">
        <v>1014.9744420251325</v>
      </c>
      <c r="G61" s="22">
        <v>1034.4575246293707</v>
      </c>
      <c r="H61" s="22">
        <v>-497.76010869080898</v>
      </c>
      <c r="I61" s="22">
        <v>-491.57513274086352</v>
      </c>
    </row>
    <row r="62" spans="1:9" ht="15" customHeight="1" x14ac:dyDescent="0.2">
      <c r="A62" s="149">
        <v>44470</v>
      </c>
      <c r="B62" s="22">
        <v>1653.6485233271287</v>
      </c>
      <c r="C62" s="22">
        <v>1694.2769255028936</v>
      </c>
      <c r="D62" s="22">
        <v>1160.6152801756825</v>
      </c>
      <c r="E62" s="22">
        <v>16.820973723692738</v>
      </c>
      <c r="F62" s="22">
        <v>1177.4362538993753</v>
      </c>
      <c r="G62" s="22">
        <v>1192.3364394091789</v>
      </c>
      <c r="H62" s="22">
        <v>-493.03324315144624</v>
      </c>
      <c r="I62" s="22">
        <v>-501.94048609371475</v>
      </c>
    </row>
    <row r="63" spans="1:9" ht="15" customHeight="1" x14ac:dyDescent="0.2">
      <c r="A63" s="149">
        <v>44501</v>
      </c>
      <c r="B63" s="22">
        <v>1688.4854879019033</v>
      </c>
      <c r="C63" s="22">
        <v>1764.6281437306779</v>
      </c>
      <c r="D63" s="22">
        <v>1215.6041359776318</v>
      </c>
      <c r="E63" s="22">
        <v>23.168286787457731</v>
      </c>
      <c r="F63" s="22">
        <v>1238.7724227650895</v>
      </c>
      <c r="G63" s="22">
        <v>1211.4690722829193</v>
      </c>
      <c r="H63" s="22">
        <v>-472.8813519242716</v>
      </c>
      <c r="I63" s="22">
        <v>-553.15907144775872</v>
      </c>
    </row>
    <row r="64" spans="1:9" ht="15" customHeight="1" x14ac:dyDescent="0.2">
      <c r="A64" s="149">
        <v>44531</v>
      </c>
      <c r="B64" s="22">
        <v>2214.2446947849789</v>
      </c>
      <c r="C64" s="22">
        <v>2240.9797406270268</v>
      </c>
      <c r="D64" s="22">
        <v>1125.6862398919557</v>
      </c>
      <c r="E64" s="22">
        <v>14.657590559039518</v>
      </c>
      <c r="F64" s="22">
        <v>1140.3438304509953</v>
      </c>
      <c r="G64" s="22">
        <v>1156.2853341767309</v>
      </c>
      <c r="H64" s="22">
        <v>-1088.5584548930233</v>
      </c>
      <c r="I64" s="22">
        <v>-1084.6944064502959</v>
      </c>
    </row>
    <row r="65" spans="1:9" ht="15" customHeight="1" x14ac:dyDescent="0.2">
      <c r="A65" s="10">
        <v>44562</v>
      </c>
      <c r="B65" s="37">
        <v>1863.9644092538294</v>
      </c>
      <c r="C65" s="37">
        <v>1959.3836352967767</v>
      </c>
      <c r="D65" s="37">
        <v>1062.6307505036864</v>
      </c>
      <c r="E65" s="37">
        <v>11.688493433340927</v>
      </c>
      <c r="F65" s="37">
        <v>1074.31924393703</v>
      </c>
      <c r="G65" s="37">
        <v>1102.6034670306735</v>
      </c>
      <c r="H65" s="37">
        <v>-801.33365875014317</v>
      </c>
      <c r="I65" s="37">
        <v>-856.78016826610326</v>
      </c>
    </row>
    <row r="66" spans="1:9" ht="15" customHeight="1" x14ac:dyDescent="0.2">
      <c r="A66" s="10">
        <v>44593</v>
      </c>
      <c r="B66" s="37">
        <v>1732.1842626608413</v>
      </c>
      <c r="C66" s="37">
        <v>1872.9492863064165</v>
      </c>
      <c r="D66" s="37">
        <v>1046.0226361406628</v>
      </c>
      <c r="E66" s="37">
        <v>15.480342714892023</v>
      </c>
      <c r="F66" s="37">
        <v>1061.5029788555548</v>
      </c>
      <c r="G66" s="37">
        <v>1093.3378369012546</v>
      </c>
      <c r="H66" s="37">
        <v>-686.16162652017852</v>
      </c>
      <c r="I66" s="37">
        <v>-779.61144940516181</v>
      </c>
    </row>
    <row r="67" spans="1:9" ht="15" customHeight="1" x14ac:dyDescent="0.2">
      <c r="A67" s="10">
        <v>44621</v>
      </c>
      <c r="B67" s="37">
        <v>1782.4416418792057</v>
      </c>
      <c r="C67" s="37">
        <v>1818.9123121575753</v>
      </c>
      <c r="D67" s="37">
        <v>1000.6191514733115</v>
      </c>
      <c r="E67" s="37">
        <v>8.2622379353898481</v>
      </c>
      <c r="F67" s="37">
        <v>1008.8813894087014</v>
      </c>
      <c r="G67" s="37">
        <v>1058.2320434309793</v>
      </c>
      <c r="H67" s="37">
        <v>-781.82249040589409</v>
      </c>
      <c r="I67" s="37">
        <v>-760.68026872659595</v>
      </c>
    </row>
    <row r="68" spans="1:9" ht="15" customHeight="1" x14ac:dyDescent="0.2">
      <c r="A68" s="10">
        <v>44652</v>
      </c>
      <c r="B68" s="37">
        <v>1610.6514930171636</v>
      </c>
      <c r="C68" s="37">
        <v>1698.9619799051154</v>
      </c>
      <c r="D68" s="37">
        <v>915.3434668345019</v>
      </c>
      <c r="E68" s="37">
        <v>8.4973903269592697</v>
      </c>
      <c r="F68" s="37">
        <v>923.84085716146114</v>
      </c>
      <c r="G68" s="37">
        <v>970.90604499243716</v>
      </c>
      <c r="H68" s="37">
        <v>-695.30802618266182</v>
      </c>
      <c r="I68" s="37">
        <v>-728.05593491267814</v>
      </c>
    </row>
    <row r="69" spans="1:9" ht="15" customHeight="1" x14ac:dyDescent="0.2">
      <c r="A69" s="10">
        <v>44682</v>
      </c>
      <c r="B69" s="37">
        <v>1322.1984240915588</v>
      </c>
      <c r="C69" s="37">
        <v>1451.4641465786999</v>
      </c>
      <c r="D69" s="37">
        <v>980.14530723604832</v>
      </c>
      <c r="E69" s="37">
        <v>11.329302444795784</v>
      </c>
      <c r="F69" s="37">
        <v>991.47460968084408</v>
      </c>
      <c r="G69" s="37">
        <v>1048.3007588774201</v>
      </c>
      <c r="H69" s="37">
        <v>-342.05311685551038</v>
      </c>
      <c r="I69" s="37">
        <v>-403.16338770127976</v>
      </c>
    </row>
    <row r="70" spans="1:9" ht="15" customHeight="1" x14ac:dyDescent="0.2">
      <c r="A70" s="10">
        <v>44713</v>
      </c>
      <c r="B70" s="37">
        <v>1176.9853966852356</v>
      </c>
      <c r="C70" s="37">
        <v>1226.475253841347</v>
      </c>
      <c r="D70" s="37">
        <v>1208.2182162641418</v>
      </c>
      <c r="E70" s="37">
        <v>13.397646427363343</v>
      </c>
      <c r="F70" s="37">
        <v>1221.6158626915051</v>
      </c>
      <c r="G70" s="37">
        <v>1248.7728586166036</v>
      </c>
      <c r="H70" s="37">
        <v>31.232819578906241</v>
      </c>
      <c r="I70" s="37">
        <v>22.297604775256552</v>
      </c>
    </row>
    <row r="71" spans="1:9" ht="15" customHeight="1" x14ac:dyDescent="0.2">
      <c r="A71" s="10">
        <v>44743</v>
      </c>
      <c r="B71" s="37">
        <v>1208.9967746660591</v>
      </c>
      <c r="C71" s="37">
        <v>1286.84388421319</v>
      </c>
      <c r="D71" s="37">
        <v>1128.719791535734</v>
      </c>
      <c r="E71" s="37">
        <v>15.29929714770935</v>
      </c>
      <c r="F71" s="37">
        <v>1144.0190886834432</v>
      </c>
      <c r="G71" s="37">
        <v>1164.5985448183251</v>
      </c>
      <c r="H71" s="37">
        <v>-80.276983130325235</v>
      </c>
      <c r="I71" s="37">
        <v>-122.24533939486491</v>
      </c>
    </row>
    <row r="72" spans="1:9" ht="15" customHeight="1" x14ac:dyDescent="0.2">
      <c r="A72" s="10">
        <v>44774</v>
      </c>
      <c r="B72" s="37">
        <v>1426.9676875181963</v>
      </c>
      <c r="C72" s="37">
        <v>1485.8702363082909</v>
      </c>
      <c r="D72" s="37">
        <v>1213.728933186112</v>
      </c>
      <c r="E72" s="37">
        <v>20.956527674187718</v>
      </c>
      <c r="F72" s="37">
        <v>1234.6854608602998</v>
      </c>
      <c r="G72" s="37">
        <v>1225.3706146436166</v>
      </c>
      <c r="H72" s="37">
        <v>-213.23875433208423</v>
      </c>
      <c r="I72" s="37">
        <v>-260.49962166467452</v>
      </c>
    </row>
    <row r="73" spans="1:9" ht="15" customHeight="1" x14ac:dyDescent="0.2">
      <c r="A73" s="10">
        <v>44805</v>
      </c>
      <c r="B73" s="37">
        <v>1134.5777373196174</v>
      </c>
      <c r="C73" s="37">
        <v>1284.363138823137</v>
      </c>
      <c r="D73" s="37">
        <v>1093.9753697666499</v>
      </c>
      <c r="E73" s="37">
        <v>14.669604550549613</v>
      </c>
      <c r="F73" s="37">
        <v>1108.6449743171995</v>
      </c>
      <c r="G73" s="37">
        <v>1079.8298985077095</v>
      </c>
      <c r="H73" s="37">
        <v>-40.60236755296738</v>
      </c>
      <c r="I73" s="37">
        <v>-204.53324031542755</v>
      </c>
    </row>
    <row r="74" spans="1:9" ht="15" customHeight="1" x14ac:dyDescent="0.2">
      <c r="A74" s="10">
        <v>44835</v>
      </c>
      <c r="B74" s="37">
        <v>1306.4479453165704</v>
      </c>
      <c r="C74" s="37">
        <v>1335.6650258777895</v>
      </c>
      <c r="D74" s="37">
        <v>1094.7866599742695</v>
      </c>
      <c r="E74" s="37">
        <v>23.466636501771728</v>
      </c>
      <c r="F74" s="37">
        <v>1118.2532964760412</v>
      </c>
      <c r="G74" s="37">
        <v>1051.5638495329749</v>
      </c>
      <c r="H74" s="37">
        <v>-211.66128534230083</v>
      </c>
      <c r="I74" s="37">
        <v>-284.10117634481458</v>
      </c>
    </row>
    <row r="75" spans="1:9" ht="15" customHeight="1" x14ac:dyDescent="0.2">
      <c r="A75" s="10">
        <v>44866</v>
      </c>
      <c r="B75" s="37">
        <v>1373.2815959069219</v>
      </c>
      <c r="C75" s="37">
        <v>1444.5641504195742</v>
      </c>
      <c r="D75" s="37">
        <v>981.84368799704998</v>
      </c>
      <c r="E75" s="37">
        <v>19.04180676070601</v>
      </c>
      <c r="F75" s="37">
        <v>1000.885494757756</v>
      </c>
      <c r="G75" s="37">
        <v>995.33067660487575</v>
      </c>
      <c r="H75" s="37">
        <v>-391.43790790987185</v>
      </c>
      <c r="I75" s="37">
        <v>-449.23347381469841</v>
      </c>
    </row>
    <row r="76" spans="1:9" ht="15" customHeight="1" x14ac:dyDescent="0.2">
      <c r="A76" s="10">
        <v>44896</v>
      </c>
      <c r="B76" s="37">
        <v>1330.4123499470763</v>
      </c>
      <c r="C76" s="37">
        <v>1425.5633543297174</v>
      </c>
      <c r="D76" s="37">
        <v>1043.9910420023723</v>
      </c>
      <c r="E76" s="37">
        <v>16.805010367182756</v>
      </c>
      <c r="F76" s="37">
        <v>1060.7960523695551</v>
      </c>
      <c r="G76" s="37">
        <v>1067.5928431750358</v>
      </c>
      <c r="H76" s="37">
        <v>-286.42130794470398</v>
      </c>
      <c r="I76" s="37">
        <v>-357.97051115468162</v>
      </c>
    </row>
    <row r="77" spans="1:9" ht="15" customHeight="1" x14ac:dyDescent="0.2">
      <c r="A77" s="11">
        <v>44927</v>
      </c>
      <c r="B77" s="22">
        <v>1352.1183226827893</v>
      </c>
      <c r="C77" s="22">
        <v>1423.3694642654602</v>
      </c>
      <c r="D77" s="22">
        <v>1001.9396102342347</v>
      </c>
      <c r="E77" s="22">
        <v>14.1658804606112</v>
      </c>
      <c r="F77" s="22">
        <v>1016.1054906948459</v>
      </c>
      <c r="G77" s="22">
        <v>978.16921427385216</v>
      </c>
      <c r="H77" s="22">
        <v>-350.17871244855456</v>
      </c>
      <c r="I77" s="22">
        <v>-445.20024999160813</v>
      </c>
    </row>
    <row r="78" spans="1:9" ht="15" customHeight="1" x14ac:dyDescent="0.2">
      <c r="A78" s="11">
        <v>44958</v>
      </c>
      <c r="B78" s="22">
        <v>1035.5673834883248</v>
      </c>
      <c r="C78" s="22">
        <v>1021.0436136907641</v>
      </c>
      <c r="D78" s="22">
        <v>952.05371669328895</v>
      </c>
      <c r="E78" s="22">
        <v>20.85739307457996</v>
      </c>
      <c r="F78" s="22">
        <v>972.91110976786888</v>
      </c>
      <c r="G78" s="22">
        <v>981.96028792620268</v>
      </c>
      <c r="H78" s="22">
        <v>-83.513666795035959</v>
      </c>
      <c r="I78" s="22">
        <v>-39.083325764561408</v>
      </c>
    </row>
    <row r="79" spans="1:9" ht="15" customHeight="1" x14ac:dyDescent="0.2">
      <c r="A79" s="11">
        <v>44986</v>
      </c>
      <c r="B79" s="22">
        <v>1331.9219039617763</v>
      </c>
      <c r="C79" s="22">
        <v>1449.5424020103417</v>
      </c>
      <c r="D79" s="22">
        <v>1002.3504492263203</v>
      </c>
      <c r="E79" s="22">
        <v>24.580121245912764</v>
      </c>
      <c r="F79" s="22">
        <v>1026.9305704722331</v>
      </c>
      <c r="G79" s="22">
        <v>1037.4546018517647</v>
      </c>
      <c r="H79" s="22">
        <v>-329.57145473545603</v>
      </c>
      <c r="I79" s="22">
        <v>-412.08780015857718</v>
      </c>
    </row>
    <row r="80" spans="1:9" ht="15" customHeight="1" x14ac:dyDescent="0.2">
      <c r="A80" s="11">
        <v>45017</v>
      </c>
      <c r="B80" s="22">
        <v>1292.9077998558914</v>
      </c>
      <c r="C80" s="22">
        <v>1431.1968085591518</v>
      </c>
      <c r="D80" s="22">
        <v>814.13298357249789</v>
      </c>
      <c r="E80" s="22">
        <v>48.07621382819724</v>
      </c>
      <c r="F80" s="22">
        <v>862.20919740069507</v>
      </c>
      <c r="G80" s="22">
        <v>848.6106835552755</v>
      </c>
      <c r="H80" s="22">
        <v>-478.77481628339359</v>
      </c>
      <c r="I80" s="22">
        <v>-582.5861250038763</v>
      </c>
    </row>
    <row r="81" spans="1:9" ht="15" customHeight="1" x14ac:dyDescent="0.2">
      <c r="A81" s="11">
        <v>45047</v>
      </c>
      <c r="B81" s="22">
        <v>1400.7794850722473</v>
      </c>
      <c r="C81" s="22">
        <v>1466.2646603932599</v>
      </c>
      <c r="D81" s="22">
        <v>989.6870582746734</v>
      </c>
      <c r="E81" s="22">
        <v>23.002417699158414</v>
      </c>
      <c r="F81" s="22">
        <v>1012.6894759738318</v>
      </c>
      <c r="G81" s="22">
        <v>1019.4882810840827</v>
      </c>
      <c r="H81" s="22">
        <v>-411.09242679757381</v>
      </c>
      <c r="I81" s="22">
        <v>-446.77637930917717</v>
      </c>
    </row>
    <row r="82" spans="1:9" ht="15" customHeight="1" x14ac:dyDescent="0.2">
      <c r="A82" s="11">
        <v>45078</v>
      </c>
      <c r="B82" s="22">
        <v>1436.7307248693162</v>
      </c>
      <c r="C82" s="22">
        <v>1369.0863464942988</v>
      </c>
      <c r="D82" s="22">
        <v>986.27943102198367</v>
      </c>
      <c r="E82" s="22">
        <v>25.979004242829809</v>
      </c>
      <c r="F82" s="22">
        <v>1012.2584352648134</v>
      </c>
      <c r="G82" s="22">
        <v>1005.3431602556694</v>
      </c>
      <c r="H82" s="22">
        <v>-450.45129384733258</v>
      </c>
      <c r="I82" s="22">
        <v>-363.74318623862939</v>
      </c>
    </row>
    <row r="83" spans="1:9" ht="15" customHeight="1" x14ac:dyDescent="0.2">
      <c r="A83" s="11">
        <v>45108</v>
      </c>
      <c r="B83" s="22">
        <v>1324.0431944096015</v>
      </c>
      <c r="C83" s="22">
        <v>1387.5562815531268</v>
      </c>
      <c r="D83" s="22">
        <v>1027.2409173250801</v>
      </c>
      <c r="E83" s="22">
        <v>15.339409487228394</v>
      </c>
      <c r="F83" s="22">
        <v>1042.5803268123084</v>
      </c>
      <c r="G83" s="22">
        <v>1020.4368441837171</v>
      </c>
      <c r="H83" s="22">
        <v>-296.80227708452145</v>
      </c>
      <c r="I83" s="22">
        <v>-367.11943736940987</v>
      </c>
    </row>
    <row r="84" spans="1:9" ht="15" customHeight="1" x14ac:dyDescent="0.2">
      <c r="A84" s="11">
        <v>45139</v>
      </c>
      <c r="B84" s="22">
        <v>1357.5498588515825</v>
      </c>
      <c r="C84" s="22">
        <v>1426.0216959381046</v>
      </c>
      <c r="D84" s="22">
        <v>1091.6258072949383</v>
      </c>
      <c r="E84" s="22">
        <v>13.37219805309096</v>
      </c>
      <c r="F84" s="22">
        <v>1104.9980053480292</v>
      </c>
      <c r="G84" s="22">
        <v>1118.6450490874095</v>
      </c>
      <c r="H84" s="22">
        <v>-265.92405155664414</v>
      </c>
      <c r="I84" s="22">
        <v>-307.37664685069524</v>
      </c>
    </row>
    <row r="85" spans="1:9" ht="15" customHeight="1" x14ac:dyDescent="0.2">
      <c r="A85" s="11">
        <v>45170</v>
      </c>
      <c r="B85" s="22">
        <v>1323.6169076984709</v>
      </c>
      <c r="C85" s="22">
        <v>1349.281943822426</v>
      </c>
      <c r="D85" s="22">
        <v>951.5164194240283</v>
      </c>
      <c r="E85" s="22">
        <v>20.659290267073111</v>
      </c>
      <c r="F85" s="22">
        <v>972.17570969110136</v>
      </c>
      <c r="G85" s="22">
        <v>971.90934130008839</v>
      </c>
      <c r="H85" s="22">
        <v>-372.10048827444245</v>
      </c>
      <c r="I85" s="22">
        <v>-377.37260252233773</v>
      </c>
    </row>
    <row r="86" spans="1:9" ht="15" customHeight="1" x14ac:dyDescent="0.2">
      <c r="A86" s="11">
        <v>45200</v>
      </c>
      <c r="B86" s="22">
        <v>1462.9690811205485</v>
      </c>
      <c r="C86" s="22">
        <v>1610.4858515561652</v>
      </c>
      <c r="D86" s="22">
        <v>898.00794312695791</v>
      </c>
      <c r="E86" s="22">
        <v>24.12368370921962</v>
      </c>
      <c r="F86" s="22">
        <v>922.13162683617747</v>
      </c>
      <c r="G86" s="22">
        <v>927.95945950763553</v>
      </c>
      <c r="H86" s="22">
        <v>-564.96113799359046</v>
      </c>
      <c r="I86" s="22">
        <v>-682.52639204852971</v>
      </c>
    </row>
    <row r="87" spans="1:9" ht="15" customHeight="1" x14ac:dyDescent="0.2">
      <c r="A87" s="11">
        <v>45231</v>
      </c>
      <c r="B87" s="22">
        <v>1332.6720228484387</v>
      </c>
      <c r="C87" s="22">
        <v>1388.7052070763218</v>
      </c>
      <c r="D87" s="22">
        <v>968.7502291911652</v>
      </c>
      <c r="E87" s="22">
        <v>21.517691043412032</v>
      </c>
      <c r="F87" s="22">
        <v>990.26792023457722</v>
      </c>
      <c r="G87" s="22">
        <v>998.97264937358932</v>
      </c>
      <c r="H87" s="22">
        <v>-363.92179365727344</v>
      </c>
      <c r="I87" s="22">
        <v>-389.73255770273244</v>
      </c>
    </row>
    <row r="88" spans="1:9" ht="15" customHeight="1" x14ac:dyDescent="0.2">
      <c r="A88" s="11">
        <v>45261</v>
      </c>
      <c r="B88" s="22">
        <v>1488.729828093883</v>
      </c>
      <c r="C88" s="22">
        <v>1488.5760792325318</v>
      </c>
      <c r="D88" s="22">
        <v>947.48700830287362</v>
      </c>
      <c r="E88" s="22">
        <v>11.322112368064985</v>
      </c>
      <c r="F88" s="22">
        <v>958.80912067093857</v>
      </c>
      <c r="G88" s="22">
        <v>1001.7603503451659</v>
      </c>
      <c r="H88" s="22">
        <v>-541.24281979100954</v>
      </c>
      <c r="I88" s="22">
        <v>-486.81572888736594</v>
      </c>
    </row>
    <row r="89" spans="1:9" ht="15" customHeight="1" x14ac:dyDescent="0.2">
      <c r="A89" s="10" t="s">
        <v>347</v>
      </c>
      <c r="B89" s="37">
        <v>1419.0088195339174</v>
      </c>
      <c r="C89" s="37">
        <v>1511.7878527536629</v>
      </c>
      <c r="D89" s="37">
        <v>891.0218472768056</v>
      </c>
      <c r="E89" s="37">
        <v>46.956309058176558</v>
      </c>
      <c r="F89" s="37">
        <v>937.97815633498215</v>
      </c>
      <c r="G89" s="37">
        <v>970.72395980169608</v>
      </c>
      <c r="H89" s="37">
        <v>-527.98697225711192</v>
      </c>
      <c r="I89" s="37">
        <v>-541.06389295196675</v>
      </c>
    </row>
    <row r="90" spans="1:9" ht="15" customHeight="1" x14ac:dyDescent="0.2">
      <c r="A90" s="10" t="s">
        <v>348</v>
      </c>
      <c r="B90" s="37">
        <v>1391.3433960063355</v>
      </c>
      <c r="C90" s="37">
        <v>1378.4196626938108</v>
      </c>
      <c r="D90" s="37">
        <v>983.68506925424867</v>
      </c>
      <c r="E90" s="37">
        <v>16.121899365954519</v>
      </c>
      <c r="F90" s="37">
        <v>999.80696862020318</v>
      </c>
      <c r="G90" s="37">
        <v>1059.3185622998949</v>
      </c>
      <c r="H90" s="37">
        <v>-407.65832675208691</v>
      </c>
      <c r="I90" s="37">
        <v>-319.10110039391589</v>
      </c>
    </row>
    <row r="91" spans="1:9" ht="15" customHeight="1" x14ac:dyDescent="0.2">
      <c r="A91" s="10" t="s">
        <v>349</v>
      </c>
      <c r="B91" s="37">
        <v>1387.1313376932262</v>
      </c>
      <c r="C91" s="37">
        <v>1507.6996834532686</v>
      </c>
      <c r="D91" s="37">
        <v>1070.4404601311892</v>
      </c>
      <c r="E91" s="37">
        <v>15.127931703008196</v>
      </c>
      <c r="F91" s="37">
        <v>1085.5683918341974</v>
      </c>
      <c r="G91" s="37">
        <v>1148.4812078626312</v>
      </c>
      <c r="H91" s="37">
        <v>-316.69087756203692</v>
      </c>
      <c r="I91" s="37">
        <v>-359.2184755906373</v>
      </c>
    </row>
    <row r="92" spans="1:9" ht="15" customHeight="1" x14ac:dyDescent="0.2">
      <c r="A92" s="10" t="s">
        <v>350</v>
      </c>
      <c r="B92" s="37">
        <v>1519.7654963843818</v>
      </c>
      <c r="C92" s="37">
        <v>1435.2460605667366</v>
      </c>
      <c r="D92" s="37">
        <v>813.80633862706691</v>
      </c>
      <c r="E92" s="37">
        <v>10.966187499833012</v>
      </c>
      <c r="F92" s="37">
        <v>824.77252612689995</v>
      </c>
      <c r="G92" s="37">
        <v>877.57873925960553</v>
      </c>
      <c r="H92" s="37">
        <v>-705.95915775731476</v>
      </c>
      <c r="I92" s="37">
        <v>-557.66732130713092</v>
      </c>
    </row>
    <row r="93" spans="1:9" ht="15" customHeight="1" x14ac:dyDescent="0.2">
      <c r="A93" s="10" t="s">
        <v>351</v>
      </c>
      <c r="B93" s="37">
        <v>1386.7661260532886</v>
      </c>
      <c r="C93" s="37">
        <v>1404.5956093616087</v>
      </c>
      <c r="D93" s="37">
        <v>960.2395914543016</v>
      </c>
      <c r="E93" s="37">
        <v>37.231164888120247</v>
      </c>
      <c r="F93" s="37">
        <v>997.47075634242185</v>
      </c>
      <c r="G93" s="37">
        <v>1011.2546937501978</v>
      </c>
      <c r="H93" s="37">
        <v>-426.52653459898715</v>
      </c>
      <c r="I93" s="37">
        <v>-393.34091561141088</v>
      </c>
    </row>
    <row r="94" spans="1:9" ht="15" customHeight="1" x14ac:dyDescent="0.2">
      <c r="A94" s="10" t="s">
        <v>352</v>
      </c>
      <c r="B94" s="37">
        <v>1385.2329226057816</v>
      </c>
      <c r="C94" s="37">
        <v>1446.621209252268</v>
      </c>
      <c r="D94" s="37">
        <v>1031.1876086600896</v>
      </c>
      <c r="E94" s="37">
        <v>16.51772611755753</v>
      </c>
      <c r="F94" s="37">
        <v>1047.7053347776471</v>
      </c>
      <c r="G94" s="37">
        <v>1077.0243072183061</v>
      </c>
      <c r="H94" s="37">
        <v>-354.04531394569199</v>
      </c>
      <c r="I94" s="37">
        <v>-369.5969020339619</v>
      </c>
    </row>
    <row r="95" spans="1:9" ht="15" customHeight="1" x14ac:dyDescent="0.2">
      <c r="A95" s="10" t="s">
        <v>353</v>
      </c>
      <c r="B95" s="37">
        <v>1640.3104050983043</v>
      </c>
      <c r="C95" s="37">
        <v>1734.1215798577123</v>
      </c>
      <c r="D95" s="37">
        <v>1087.5847130574255</v>
      </c>
      <c r="E95" s="37">
        <v>12.824540418803387</v>
      </c>
      <c r="F95" s="37">
        <v>1100.4092534762287</v>
      </c>
      <c r="G95" s="37">
        <v>1130.2795584462635</v>
      </c>
      <c r="H95" s="37">
        <v>-552.7256920408787</v>
      </c>
      <c r="I95" s="37">
        <v>-603.84202141144863</v>
      </c>
    </row>
    <row r="96" spans="1:9" ht="15" customHeight="1" x14ac:dyDescent="0.2">
      <c r="A96" s="10" t="s">
        <v>354</v>
      </c>
      <c r="B96" s="37">
        <v>1674.4988251937436</v>
      </c>
      <c r="C96" s="37">
        <v>1654.0274199404437</v>
      </c>
      <c r="D96" s="37">
        <v>1165.3586854982721</v>
      </c>
      <c r="E96" s="37">
        <v>17.288230681451957</v>
      </c>
      <c r="F96" s="37">
        <v>1182.646916179724</v>
      </c>
      <c r="G96" s="37">
        <v>1231.6821030552205</v>
      </c>
      <c r="H96" s="37">
        <v>-509.1401396954717</v>
      </c>
      <c r="I96" s="37">
        <v>-422.34531688522316</v>
      </c>
    </row>
    <row r="97" spans="1:9" ht="15" customHeight="1" x14ac:dyDescent="0.2">
      <c r="A97" s="10" t="s">
        <v>355</v>
      </c>
      <c r="B97" s="37">
        <v>1614.2398669270015</v>
      </c>
      <c r="C97" s="37">
        <v>1645.7399723713993</v>
      </c>
      <c r="D97" s="37">
        <v>937.95012731507995</v>
      </c>
      <c r="E97" s="37">
        <v>10.796388417087137</v>
      </c>
      <c r="F97" s="37">
        <v>948.74651573216704</v>
      </c>
      <c r="G97" s="37">
        <v>1011.7372962546182</v>
      </c>
      <c r="H97" s="37">
        <v>-676.28973961192139</v>
      </c>
      <c r="I97" s="37">
        <v>-634.00267611678123</v>
      </c>
    </row>
    <row r="98" spans="1:9" ht="15" customHeight="1" x14ac:dyDescent="0.2">
      <c r="A98" s="10" t="s">
        <v>356</v>
      </c>
      <c r="B98" s="37">
        <v>1739.991310645094</v>
      </c>
      <c r="C98" s="37">
        <v>1702.3792187489955</v>
      </c>
      <c r="D98" s="37">
        <v>1097.0963603327739</v>
      </c>
      <c r="E98" s="37">
        <v>8.5234764118398108</v>
      </c>
      <c r="F98" s="37">
        <v>1105.6198367446136</v>
      </c>
      <c r="G98" s="37">
        <v>1157.9983404190527</v>
      </c>
      <c r="H98" s="37">
        <v>-642.89495031232013</v>
      </c>
      <c r="I98" s="37">
        <v>-544.3808783299429</v>
      </c>
    </row>
    <row r="99" spans="1:9" ht="15" customHeight="1" x14ac:dyDescent="0.2">
      <c r="A99" s="10" t="s">
        <v>357</v>
      </c>
      <c r="B99" s="37">
        <v>1476.6491771663357</v>
      </c>
      <c r="C99" s="37">
        <v>1496.2999021514249</v>
      </c>
      <c r="D99" s="37">
        <v>943.07283765716954</v>
      </c>
      <c r="E99" s="37">
        <v>10.182627030244253</v>
      </c>
      <c r="F99" s="37">
        <v>953.25546468741379</v>
      </c>
      <c r="G99" s="37">
        <v>994.14745233944154</v>
      </c>
      <c r="H99" s="37">
        <v>-533.57633950916613</v>
      </c>
      <c r="I99" s="37">
        <v>-502.15244981198344</v>
      </c>
    </row>
    <row r="100" spans="1:9" ht="15" customHeight="1" x14ac:dyDescent="0.2">
      <c r="A100" s="10" t="s">
        <v>358</v>
      </c>
      <c r="B100" s="37">
        <v>1845.5983349349717</v>
      </c>
      <c r="C100" s="37">
        <v>1924.476764720677</v>
      </c>
      <c r="D100" s="37">
        <v>1042.4829242818769</v>
      </c>
      <c r="E100" s="37">
        <v>12.249058048104004</v>
      </c>
      <c r="F100" s="37">
        <v>1054.7319823299808</v>
      </c>
      <c r="G100" s="37">
        <v>1101.7669842074342</v>
      </c>
      <c r="H100" s="37">
        <v>-803.11541065309473</v>
      </c>
      <c r="I100" s="37">
        <v>-822.70978051324278</v>
      </c>
    </row>
    <row r="101" spans="1:9" ht="15" customHeight="1" x14ac:dyDescent="0.2">
      <c r="A101" s="11" t="s">
        <v>287</v>
      </c>
      <c r="B101" s="22">
        <v>1741.6442485201549</v>
      </c>
      <c r="C101" s="22">
        <v>1785.5256010888788</v>
      </c>
      <c r="D101" s="22">
        <v>1004.8161928910703</v>
      </c>
      <c r="E101" s="22">
        <v>4.1183100017691965</v>
      </c>
      <c r="F101" s="22">
        <v>1008.9345028928394</v>
      </c>
      <c r="G101" s="22">
        <v>1052.790385272612</v>
      </c>
      <c r="H101" s="22">
        <v>-736.82805562908459</v>
      </c>
      <c r="I101" s="22">
        <v>-732.73521581626687</v>
      </c>
    </row>
    <row r="102" spans="1:9" ht="15" customHeight="1" x14ac:dyDescent="0.2">
      <c r="A102" s="11" t="s">
        <v>288</v>
      </c>
      <c r="B102" s="22">
        <v>1443.4799920452394</v>
      </c>
      <c r="C102" s="22">
        <v>1464.2031508791547</v>
      </c>
      <c r="D102" s="22">
        <v>996.46561193369075</v>
      </c>
      <c r="E102" s="22">
        <v>7.4579631365408892</v>
      </c>
      <c r="F102" s="22">
        <v>1003.9235750702317</v>
      </c>
      <c r="G102" s="22">
        <v>1052.9314878580824</v>
      </c>
      <c r="H102" s="22">
        <v>-447.01438011154858</v>
      </c>
      <c r="I102" s="22">
        <v>-411.2716630210723</v>
      </c>
    </row>
    <row r="103" spans="1:9" ht="15" customHeight="1" x14ac:dyDescent="0.2">
      <c r="A103" s="11" t="s">
        <v>289</v>
      </c>
      <c r="B103" s="22">
        <v>1662.2802251367821</v>
      </c>
      <c r="C103" s="22">
        <v>1637.3068011812159</v>
      </c>
      <c r="D103" s="22">
        <v>1157.4956017187717</v>
      </c>
      <c r="E103" s="22">
        <v>8.3601762129573611</v>
      </c>
      <c r="F103" s="22">
        <v>1165.8557779317291</v>
      </c>
      <c r="G103" s="22">
        <v>1241.6908589753436</v>
      </c>
      <c r="H103" s="22">
        <v>-504.78462341801037</v>
      </c>
      <c r="I103" s="22">
        <v>-395.61594220587222</v>
      </c>
    </row>
    <row r="104" spans="1:9" ht="15" customHeight="1" x14ac:dyDescent="0.2">
      <c r="A104" s="11" t="s">
        <v>290</v>
      </c>
      <c r="B104" s="22">
        <v>1697.3866561920495</v>
      </c>
      <c r="C104" s="22">
        <v>1685.8880693505237</v>
      </c>
      <c r="D104" s="22">
        <v>925.40518459712075</v>
      </c>
      <c r="E104" s="22">
        <v>6.184912994018716</v>
      </c>
      <c r="F104" s="22">
        <v>931.59009759113951</v>
      </c>
      <c r="G104" s="22">
        <v>968.229286514921</v>
      </c>
      <c r="H104" s="22">
        <v>-771.98147159492873</v>
      </c>
      <c r="I104" s="22">
        <v>-717.65878283560255</v>
      </c>
    </row>
    <row r="105" spans="1:9" ht="15" customHeight="1" x14ac:dyDescent="0.2">
      <c r="A105" s="11" t="s">
        <v>291</v>
      </c>
      <c r="B105" s="22">
        <v>1494.4117984584566</v>
      </c>
      <c r="C105" s="22">
        <v>1507.1694013641822</v>
      </c>
      <c r="D105" s="22">
        <v>978.50981157874276</v>
      </c>
      <c r="E105" s="22">
        <v>22.336783983525166</v>
      </c>
      <c r="F105" s="22">
        <v>1000.8465955622679</v>
      </c>
      <c r="G105" s="22">
        <v>1034.6509985166413</v>
      </c>
      <c r="H105" s="22">
        <v>-515.90198687971383</v>
      </c>
      <c r="I105" s="22">
        <v>-472.51840284754115</v>
      </c>
    </row>
    <row r="106" spans="1:9" ht="15" customHeight="1" x14ac:dyDescent="0.2">
      <c r="A106" s="11" t="s">
        <v>292</v>
      </c>
      <c r="B106" s="22">
        <v>1633.9080401258545</v>
      </c>
      <c r="C106" s="22">
        <v>1682.0924071759928</v>
      </c>
      <c r="D106" s="22">
        <v>1118.9518832456267</v>
      </c>
      <c r="E106" s="22">
        <v>9.7784773929031346</v>
      </c>
      <c r="F106" s="22">
        <v>1128.7303606385301</v>
      </c>
      <c r="G106" s="22">
        <v>1141.8312319344509</v>
      </c>
      <c r="H106" s="22">
        <v>-514.95615688022781</v>
      </c>
      <c r="I106" s="22">
        <v>-540.26117524154188</v>
      </c>
    </row>
    <row r="107" spans="1:9" ht="15" customHeight="1" x14ac:dyDescent="0.2">
      <c r="A107" s="11" t="s">
        <v>341</v>
      </c>
      <c r="B107" s="22">
        <v>1875.9565332820584</v>
      </c>
      <c r="C107" s="22">
        <v>1882.2219436931452</v>
      </c>
      <c r="D107" s="22">
        <v>1279.8886075762723</v>
      </c>
      <c r="E107" s="22">
        <v>43.204999858861058</v>
      </c>
      <c r="F107" s="22">
        <v>1323.0936074351334</v>
      </c>
      <c r="G107" s="22">
        <v>1302.1944091206951</v>
      </c>
      <c r="H107" s="22">
        <v>-596.06792570578614</v>
      </c>
      <c r="I107" s="22">
        <v>-580.02753457245001</v>
      </c>
    </row>
    <row r="108" spans="1:9" ht="15" customHeight="1" x14ac:dyDescent="0.2">
      <c r="A108" s="11" t="s">
        <v>342</v>
      </c>
      <c r="B108" s="22">
        <v>1740.4227617814377</v>
      </c>
      <c r="C108" s="22">
        <v>1696.4865898195253</v>
      </c>
      <c r="D108" s="22">
        <v>1210.9733109090841</v>
      </c>
      <c r="E108" s="22">
        <v>43.793845512159471</v>
      </c>
      <c r="F108" s="22">
        <v>1254.7671564212437</v>
      </c>
      <c r="G108" s="22">
        <v>1282.3296367087296</v>
      </c>
      <c r="H108" s="22">
        <v>-529.4494508723534</v>
      </c>
      <c r="I108" s="22">
        <v>-414.15695311079577</v>
      </c>
    </row>
    <row r="109" spans="1:9" ht="15" customHeight="1" x14ac:dyDescent="0.2">
      <c r="A109" s="11" t="s">
        <v>343</v>
      </c>
      <c r="B109" s="22">
        <v>1955.5592900655374</v>
      </c>
      <c r="C109" s="22">
        <v>2048.593970667373</v>
      </c>
      <c r="D109" s="22">
        <v>1141.7867741908799</v>
      </c>
      <c r="E109" s="22">
        <v>10.365971392691156</v>
      </c>
      <c r="F109" s="22">
        <v>1152.152745583571</v>
      </c>
      <c r="G109" s="22">
        <v>1138.4656329002578</v>
      </c>
      <c r="H109" s="22">
        <v>-813.77251587465753</v>
      </c>
      <c r="I109" s="22">
        <v>-910.12833776711523</v>
      </c>
    </row>
    <row r="110" spans="1:9" ht="15" customHeight="1" x14ac:dyDescent="0.2">
      <c r="A110" s="11" t="s">
        <v>344</v>
      </c>
      <c r="B110" s="22">
        <v>2115.5661707548397</v>
      </c>
      <c r="C110" s="22">
        <v>2156.7558547727881</v>
      </c>
      <c r="D110" s="22">
        <v>1121.8194746553052</v>
      </c>
      <c r="E110" s="22">
        <v>16.966248051581744</v>
      </c>
      <c r="F110" s="22">
        <v>1138.7857227068869</v>
      </c>
      <c r="G110" s="22">
        <v>1149.8364906123213</v>
      </c>
      <c r="H110" s="22">
        <v>-993.74669609953457</v>
      </c>
      <c r="I110" s="22">
        <v>-1006.9193641604668</v>
      </c>
    </row>
    <row r="111" spans="1:9" ht="15" customHeight="1" x14ac:dyDescent="0.2">
      <c r="A111" s="11" t="s">
        <v>345</v>
      </c>
      <c r="B111" s="22">
        <v>1755.2874534759603</v>
      </c>
      <c r="C111" s="22">
        <v>1778.4909464392631</v>
      </c>
      <c r="D111" s="22">
        <v>998.19105131435936</v>
      </c>
      <c r="E111" s="22">
        <v>29.477886031199919</v>
      </c>
      <c r="F111" s="22">
        <v>1027.6689373455592</v>
      </c>
      <c r="G111" s="22">
        <v>1058.456798216436</v>
      </c>
      <c r="H111" s="22">
        <v>-757.09640216160096</v>
      </c>
      <c r="I111" s="22">
        <v>-720.03414822282696</v>
      </c>
    </row>
    <row r="112" spans="1:9" ht="15" customHeight="1" x14ac:dyDescent="0.2">
      <c r="A112" s="11" t="s">
        <v>346</v>
      </c>
      <c r="B112" s="22">
        <v>2090.343629876239</v>
      </c>
      <c r="C112" s="22">
        <v>2155.2055182019499</v>
      </c>
      <c r="D112" s="22">
        <v>1094.1751048622434</v>
      </c>
      <c r="E112" s="22">
        <v>15.862270831035744</v>
      </c>
      <c r="F112" s="22">
        <v>1110.037375693279</v>
      </c>
      <c r="G112" s="22">
        <v>1157.9673106859948</v>
      </c>
      <c r="H112" s="22">
        <v>-996.1685250139958</v>
      </c>
      <c r="I112" s="22">
        <v>-997.2382075159552</v>
      </c>
    </row>
    <row r="113" spans="1:9" ht="15" customHeight="1" x14ac:dyDescent="0.2">
      <c r="A113" s="10" t="s">
        <v>373</v>
      </c>
      <c r="B113" s="37">
        <v>1785.9250765935278</v>
      </c>
      <c r="C113" s="37">
        <v>1803.2624059350046</v>
      </c>
      <c r="D113" s="37">
        <v>1117.0438847636765</v>
      </c>
      <c r="E113" s="37">
        <v>19.435709751622856</v>
      </c>
      <c r="F113" s="37">
        <v>1136.4795945152994</v>
      </c>
      <c r="G113" s="37">
        <v>1148.7465697634668</v>
      </c>
      <c r="H113" s="37">
        <v>-668.88119182985133</v>
      </c>
      <c r="I113" s="37">
        <v>-654.51583617153756</v>
      </c>
    </row>
    <row r="114" spans="1:9" ht="15" customHeight="1" x14ac:dyDescent="0.2">
      <c r="A114" s="10" t="s">
        <v>374</v>
      </c>
      <c r="B114" s="37">
        <v>1780.0220096501271</v>
      </c>
      <c r="C114" s="37">
        <v>1833.828673715004</v>
      </c>
      <c r="D114" s="37">
        <v>1010.4221550873114</v>
      </c>
      <c r="E114" s="37">
        <v>12.156772337293502</v>
      </c>
      <c r="F114" s="37">
        <v>1022.5789274246049</v>
      </c>
      <c r="G114" s="37">
        <v>1057.9714833575572</v>
      </c>
      <c r="H114" s="37">
        <v>-769.59985456281584</v>
      </c>
      <c r="I114" s="37">
        <v>-775.85719035744694</v>
      </c>
    </row>
    <row r="115" spans="1:9" ht="15" customHeight="1" x14ac:dyDescent="0.2">
      <c r="A115" s="10" t="s">
        <v>375</v>
      </c>
      <c r="B115" s="37">
        <v>1959.1330124852166</v>
      </c>
      <c r="C115" s="37">
        <v>2134.0709579957452</v>
      </c>
      <c r="D115" s="37">
        <v>1132.2260705921428</v>
      </c>
      <c r="E115" s="37">
        <v>13.037582062171845</v>
      </c>
      <c r="F115" s="37">
        <v>1145.2636526543147</v>
      </c>
      <c r="G115" s="37">
        <v>1254.3255016599014</v>
      </c>
      <c r="H115" s="37">
        <v>-826.90694189307351</v>
      </c>
      <c r="I115" s="37">
        <v>-879.74545633584353</v>
      </c>
    </row>
    <row r="116" spans="1:9" ht="15" customHeight="1" x14ac:dyDescent="0.2">
      <c r="A116" s="166" t="s">
        <v>397</v>
      </c>
      <c r="B116" s="168">
        <v>2035.4658189106387</v>
      </c>
      <c r="C116" s="168">
        <v>2456.7107189691123</v>
      </c>
      <c r="D116" s="168">
        <v>954.9623639704663</v>
      </c>
      <c r="E116" s="168">
        <v>26.275256590662391</v>
      </c>
      <c r="F116" s="168">
        <v>981.23762056112867</v>
      </c>
      <c r="G116" s="168">
        <v>1074.0967661797022</v>
      </c>
      <c r="H116" s="168">
        <v>-1080.5034549401723</v>
      </c>
      <c r="I116" s="168">
        <v>-1382.6139527894102</v>
      </c>
    </row>
    <row r="117" spans="1:9" ht="15" customHeight="1" x14ac:dyDescent="0.2">
      <c r="A117" s="30" t="s">
        <v>293</v>
      </c>
      <c r="B117" s="30"/>
      <c r="C117" s="30"/>
      <c r="D117" s="30"/>
      <c r="E117" s="30"/>
      <c r="F117" s="30"/>
      <c r="H117" s="19" t="s">
        <v>303</v>
      </c>
      <c r="I117" s="30"/>
    </row>
    <row r="118" spans="1:9" ht="15" customHeight="1" x14ac:dyDescent="0.2">
      <c r="A118" s="113" t="s">
        <v>385</v>
      </c>
      <c r="B118" s="30"/>
      <c r="C118" s="30"/>
      <c r="D118" s="30"/>
      <c r="E118" s="30"/>
      <c r="F118" s="30"/>
      <c r="H118" s="19" t="s">
        <v>302</v>
      </c>
      <c r="I118" s="30"/>
    </row>
    <row r="119" spans="1:9" ht="15" customHeight="1" x14ac:dyDescent="0.2">
      <c r="A119" s="30"/>
      <c r="B119" s="30"/>
      <c r="C119" s="30"/>
      <c r="D119" s="30"/>
      <c r="E119" s="30"/>
      <c r="F119" s="30"/>
      <c r="I119" s="30"/>
    </row>
    <row r="120" spans="1:9" ht="15" customHeight="1" x14ac:dyDescent="0.2">
      <c r="A120" s="30"/>
      <c r="B120" s="30"/>
      <c r="C120" s="30"/>
      <c r="D120" s="30"/>
      <c r="E120" s="30"/>
      <c r="F120" s="30"/>
      <c r="I120" s="30"/>
    </row>
  </sheetData>
  <mergeCells count="5">
    <mergeCell ref="A4:H4"/>
    <mergeCell ref="A6:A7"/>
    <mergeCell ref="B6:C6"/>
    <mergeCell ref="D6:G6"/>
    <mergeCell ref="H6:I6"/>
  </mergeCells>
  <hyperlinks>
    <hyperlink ref="I2" location="Contents!A1" display="Back to Contents" xr:uid="{46F39534-313E-4C18-B77C-AF827D004E94}"/>
  </hyperlink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C5CDA-0A93-4CA1-B712-F5B4EC2F233E}">
  <sheetPr>
    <pageSetUpPr fitToPage="1"/>
  </sheetPr>
  <dimension ref="A1:FT139"/>
  <sheetViews>
    <sheetView showGridLines="0" zoomScaleNormal="100" zoomScaleSheetLayoutView="100" workbookViewId="0">
      <pane xSplit="8" ySplit="6" topLeftCell="DH71" activePane="bottomRight" state="frozen"/>
      <selection activeCell="AA321" sqref="AA321"/>
      <selection pane="topRight" activeCell="AA321" sqref="AA321"/>
      <selection pane="bottomLeft" activeCell="AA321" sqref="AA321"/>
      <selection pane="bottomRight" activeCell="DP2" sqref="DP2"/>
    </sheetView>
  </sheetViews>
  <sheetFormatPr defaultRowHeight="12.75" x14ac:dyDescent="0.2"/>
  <cols>
    <col min="1" max="1" width="2.85546875" style="272" customWidth="1"/>
    <col min="2" max="2" width="2.85546875" style="347" customWidth="1"/>
    <col min="3" max="3" width="1.5703125" style="347" customWidth="1"/>
    <col min="4" max="4" width="2.140625" style="347" customWidth="1"/>
    <col min="5" max="5" width="2.85546875" style="347" customWidth="1"/>
    <col min="6" max="6" width="2.7109375" style="347" customWidth="1"/>
    <col min="7" max="7" width="1.42578125" style="347" customWidth="1"/>
    <col min="8" max="8" width="62" style="348" customWidth="1"/>
    <col min="9" max="16" width="11.5703125" style="348" customWidth="1"/>
    <col min="17" max="48" width="11.5703125" style="347" customWidth="1"/>
    <col min="49" max="50" width="11.5703125" style="354" customWidth="1"/>
    <col min="51" max="90" width="11.5703125" style="347" customWidth="1"/>
    <col min="91" max="96" width="11.42578125" style="347" customWidth="1"/>
    <col min="97" max="98" width="11.5703125" style="347" customWidth="1"/>
    <col min="99" max="100" width="11.42578125" style="347" customWidth="1"/>
    <col min="101" max="102" width="11.5703125" style="347" customWidth="1"/>
    <col min="103" max="104" width="11.42578125" style="347" customWidth="1"/>
    <col min="105" max="106" width="11.5703125" style="347" customWidth="1"/>
    <col min="107" max="108" width="11.42578125" style="347" customWidth="1"/>
    <col min="109" max="110" width="11.5703125" style="347" customWidth="1"/>
    <col min="111" max="112" width="11.42578125" style="347" customWidth="1"/>
    <col min="113" max="114" width="11.5703125" style="347" customWidth="1"/>
    <col min="115" max="116" width="11.42578125" style="347" customWidth="1"/>
    <col min="117" max="118" width="11.5703125" style="347" customWidth="1"/>
    <col min="119" max="120" width="11.42578125" style="347" customWidth="1"/>
    <col min="121" max="322" width="9.140625" style="347"/>
    <col min="323" max="323" width="10.42578125" style="347" customWidth="1"/>
    <col min="324" max="324" width="11.42578125" style="347" customWidth="1"/>
    <col min="325" max="325" width="12.140625" style="347" customWidth="1"/>
    <col min="326" max="326" width="42.28515625" style="347" customWidth="1"/>
    <col min="327" max="578" width="9.140625" style="347"/>
    <col min="579" max="579" width="10.42578125" style="347" customWidth="1"/>
    <col min="580" max="580" width="11.42578125" style="347" customWidth="1"/>
    <col min="581" max="581" width="12.140625" style="347" customWidth="1"/>
    <col min="582" max="582" width="42.28515625" style="347" customWidth="1"/>
    <col min="583" max="834" width="9.140625" style="347"/>
    <col min="835" max="835" width="10.42578125" style="347" customWidth="1"/>
    <col min="836" max="836" width="11.42578125" style="347" customWidth="1"/>
    <col min="837" max="837" width="12.140625" style="347" customWidth="1"/>
    <col min="838" max="838" width="42.28515625" style="347" customWidth="1"/>
    <col min="839" max="1090" width="9.140625" style="347"/>
    <col min="1091" max="1091" width="10.42578125" style="347" customWidth="1"/>
    <col min="1092" max="1092" width="11.42578125" style="347" customWidth="1"/>
    <col min="1093" max="1093" width="12.140625" style="347" customWidth="1"/>
    <col min="1094" max="1094" width="42.28515625" style="347" customWidth="1"/>
    <col min="1095" max="1346" width="9.140625" style="347"/>
    <col min="1347" max="1347" width="10.42578125" style="347" customWidth="1"/>
    <col min="1348" max="1348" width="11.42578125" style="347" customWidth="1"/>
    <col min="1349" max="1349" width="12.140625" style="347" customWidth="1"/>
    <col min="1350" max="1350" width="42.28515625" style="347" customWidth="1"/>
    <col min="1351" max="1602" width="9.140625" style="347"/>
    <col min="1603" max="1603" width="10.42578125" style="347" customWidth="1"/>
    <col min="1604" max="1604" width="11.42578125" style="347" customWidth="1"/>
    <col min="1605" max="1605" width="12.140625" style="347" customWidth="1"/>
    <col min="1606" max="1606" width="42.28515625" style="347" customWidth="1"/>
    <col min="1607" max="1858" width="9.140625" style="347"/>
    <col min="1859" max="1859" width="10.42578125" style="347" customWidth="1"/>
    <col min="1860" max="1860" width="11.42578125" style="347" customWidth="1"/>
    <col min="1861" max="1861" width="12.140625" style="347" customWidth="1"/>
    <col min="1862" max="1862" width="42.28515625" style="347" customWidth="1"/>
    <col min="1863" max="2114" width="9.140625" style="347"/>
    <col min="2115" max="2115" width="10.42578125" style="347" customWidth="1"/>
    <col min="2116" max="2116" width="11.42578125" style="347" customWidth="1"/>
    <col min="2117" max="2117" width="12.140625" style="347" customWidth="1"/>
    <col min="2118" max="2118" width="42.28515625" style="347" customWidth="1"/>
    <col min="2119" max="2370" width="9.140625" style="347"/>
    <col min="2371" max="2371" width="10.42578125" style="347" customWidth="1"/>
    <col min="2372" max="2372" width="11.42578125" style="347" customWidth="1"/>
    <col min="2373" max="2373" width="12.140625" style="347" customWidth="1"/>
    <col min="2374" max="2374" width="42.28515625" style="347" customWidth="1"/>
    <col min="2375" max="2626" width="9.140625" style="347"/>
    <col min="2627" max="2627" width="10.42578125" style="347" customWidth="1"/>
    <col min="2628" max="2628" width="11.42578125" style="347" customWidth="1"/>
    <col min="2629" max="2629" width="12.140625" style="347" customWidth="1"/>
    <col min="2630" max="2630" width="42.28515625" style="347" customWidth="1"/>
    <col min="2631" max="2882" width="9.140625" style="347"/>
    <col min="2883" max="2883" width="10.42578125" style="347" customWidth="1"/>
    <col min="2884" max="2884" width="11.42578125" style="347" customWidth="1"/>
    <col min="2885" max="2885" width="12.140625" style="347" customWidth="1"/>
    <col min="2886" max="2886" width="42.28515625" style="347" customWidth="1"/>
    <col min="2887" max="3138" width="9.140625" style="347"/>
    <col min="3139" max="3139" width="10.42578125" style="347" customWidth="1"/>
    <col min="3140" max="3140" width="11.42578125" style="347" customWidth="1"/>
    <col min="3141" max="3141" width="12.140625" style="347" customWidth="1"/>
    <col min="3142" max="3142" width="42.28515625" style="347" customWidth="1"/>
    <col min="3143" max="3394" width="9.140625" style="347"/>
    <col min="3395" max="3395" width="10.42578125" style="347" customWidth="1"/>
    <col min="3396" max="3396" width="11.42578125" style="347" customWidth="1"/>
    <col min="3397" max="3397" width="12.140625" style="347" customWidth="1"/>
    <col min="3398" max="3398" width="42.28515625" style="347" customWidth="1"/>
    <col min="3399" max="3650" width="9.140625" style="347"/>
    <col min="3651" max="3651" width="10.42578125" style="347" customWidth="1"/>
    <col min="3652" max="3652" width="11.42578125" style="347" customWidth="1"/>
    <col min="3653" max="3653" width="12.140625" style="347" customWidth="1"/>
    <col min="3654" max="3654" width="42.28515625" style="347" customWidth="1"/>
    <col min="3655" max="3906" width="9.140625" style="347"/>
    <col min="3907" max="3907" width="10.42578125" style="347" customWidth="1"/>
    <col min="3908" max="3908" width="11.42578125" style="347" customWidth="1"/>
    <col min="3909" max="3909" width="12.140625" style="347" customWidth="1"/>
    <col min="3910" max="3910" width="42.28515625" style="347" customWidth="1"/>
    <col min="3911" max="4162" width="9.140625" style="347"/>
    <col min="4163" max="4163" width="10.42578125" style="347" customWidth="1"/>
    <col min="4164" max="4164" width="11.42578125" style="347" customWidth="1"/>
    <col min="4165" max="4165" width="12.140625" style="347" customWidth="1"/>
    <col min="4166" max="4166" width="42.28515625" style="347" customWidth="1"/>
    <col min="4167" max="4418" width="9.140625" style="347"/>
    <col min="4419" max="4419" width="10.42578125" style="347" customWidth="1"/>
    <col min="4420" max="4420" width="11.42578125" style="347" customWidth="1"/>
    <col min="4421" max="4421" width="12.140625" style="347" customWidth="1"/>
    <col min="4422" max="4422" width="42.28515625" style="347" customWidth="1"/>
    <col min="4423" max="4674" width="9.140625" style="347"/>
    <col min="4675" max="4675" width="10.42578125" style="347" customWidth="1"/>
    <col min="4676" max="4676" width="11.42578125" style="347" customWidth="1"/>
    <col min="4677" max="4677" width="12.140625" style="347" customWidth="1"/>
    <col min="4678" max="4678" width="42.28515625" style="347" customWidth="1"/>
    <col min="4679" max="4930" width="9.140625" style="347"/>
    <col min="4931" max="4931" width="10.42578125" style="347" customWidth="1"/>
    <col min="4932" max="4932" width="11.42578125" style="347" customWidth="1"/>
    <col min="4933" max="4933" width="12.140625" style="347" customWidth="1"/>
    <col min="4934" max="4934" width="42.28515625" style="347" customWidth="1"/>
    <col min="4935" max="5186" width="9.140625" style="347"/>
    <col min="5187" max="5187" width="10.42578125" style="347" customWidth="1"/>
    <col min="5188" max="5188" width="11.42578125" style="347" customWidth="1"/>
    <col min="5189" max="5189" width="12.140625" style="347" customWidth="1"/>
    <col min="5190" max="5190" width="42.28515625" style="347" customWidth="1"/>
    <col min="5191" max="5442" width="9.140625" style="347"/>
    <col min="5443" max="5443" width="10.42578125" style="347" customWidth="1"/>
    <col min="5444" max="5444" width="11.42578125" style="347" customWidth="1"/>
    <col min="5445" max="5445" width="12.140625" style="347" customWidth="1"/>
    <col min="5446" max="5446" width="42.28515625" style="347" customWidth="1"/>
    <col min="5447" max="5698" width="9.140625" style="347"/>
    <col min="5699" max="5699" width="10.42578125" style="347" customWidth="1"/>
    <col min="5700" max="5700" width="11.42578125" style="347" customWidth="1"/>
    <col min="5701" max="5701" width="12.140625" style="347" customWidth="1"/>
    <col min="5702" max="5702" width="42.28515625" style="347" customWidth="1"/>
    <col min="5703" max="5954" width="9.140625" style="347"/>
    <col min="5955" max="5955" width="10.42578125" style="347" customWidth="1"/>
    <col min="5956" max="5956" width="11.42578125" style="347" customWidth="1"/>
    <col min="5957" max="5957" width="12.140625" style="347" customWidth="1"/>
    <col min="5958" max="5958" width="42.28515625" style="347" customWidth="1"/>
    <col min="5959" max="6210" width="9.140625" style="347"/>
    <col min="6211" max="6211" width="10.42578125" style="347" customWidth="1"/>
    <col min="6212" max="6212" width="11.42578125" style="347" customWidth="1"/>
    <col min="6213" max="6213" width="12.140625" style="347" customWidth="1"/>
    <col min="6214" max="6214" width="42.28515625" style="347" customWidth="1"/>
    <col min="6215" max="6466" width="9.140625" style="347"/>
    <col min="6467" max="6467" width="10.42578125" style="347" customWidth="1"/>
    <col min="6468" max="6468" width="11.42578125" style="347" customWidth="1"/>
    <col min="6469" max="6469" width="12.140625" style="347" customWidth="1"/>
    <col min="6470" max="6470" width="42.28515625" style="347" customWidth="1"/>
    <col min="6471" max="6722" width="9.140625" style="347"/>
    <col min="6723" max="6723" width="10.42578125" style="347" customWidth="1"/>
    <col min="6724" max="6724" width="11.42578125" style="347" customWidth="1"/>
    <col min="6725" max="6725" width="12.140625" style="347" customWidth="1"/>
    <col min="6726" max="6726" width="42.28515625" style="347" customWidth="1"/>
    <col min="6727" max="6978" width="9.140625" style="347"/>
    <col min="6979" max="6979" width="10.42578125" style="347" customWidth="1"/>
    <col min="6980" max="6980" width="11.42578125" style="347" customWidth="1"/>
    <col min="6981" max="6981" width="12.140625" style="347" customWidth="1"/>
    <col min="6982" max="6982" width="42.28515625" style="347" customWidth="1"/>
    <col min="6983" max="7234" width="9.140625" style="347"/>
    <col min="7235" max="7235" width="10.42578125" style="347" customWidth="1"/>
    <col min="7236" max="7236" width="11.42578125" style="347" customWidth="1"/>
    <col min="7237" max="7237" width="12.140625" style="347" customWidth="1"/>
    <col min="7238" max="7238" width="42.28515625" style="347" customWidth="1"/>
    <col min="7239" max="7490" width="9.140625" style="347"/>
    <col min="7491" max="7491" width="10.42578125" style="347" customWidth="1"/>
    <col min="7492" max="7492" width="11.42578125" style="347" customWidth="1"/>
    <col min="7493" max="7493" width="12.140625" style="347" customWidth="1"/>
    <col min="7494" max="7494" width="42.28515625" style="347" customWidth="1"/>
    <col min="7495" max="7746" width="9.140625" style="347"/>
    <col min="7747" max="7747" width="10.42578125" style="347" customWidth="1"/>
    <col min="7748" max="7748" width="11.42578125" style="347" customWidth="1"/>
    <col min="7749" max="7749" width="12.140625" style="347" customWidth="1"/>
    <col min="7750" max="7750" width="42.28515625" style="347" customWidth="1"/>
    <col min="7751" max="8002" width="9.140625" style="347"/>
    <col min="8003" max="8003" width="10.42578125" style="347" customWidth="1"/>
    <col min="8004" max="8004" width="11.42578125" style="347" customWidth="1"/>
    <col min="8005" max="8005" width="12.140625" style="347" customWidth="1"/>
    <col min="8006" max="8006" width="42.28515625" style="347" customWidth="1"/>
    <col min="8007" max="8258" width="9.140625" style="347"/>
    <col min="8259" max="8259" width="10.42578125" style="347" customWidth="1"/>
    <col min="8260" max="8260" width="11.42578125" style="347" customWidth="1"/>
    <col min="8261" max="8261" width="12.140625" style="347" customWidth="1"/>
    <col min="8262" max="8262" width="42.28515625" style="347" customWidth="1"/>
    <col min="8263" max="8514" width="9.140625" style="347"/>
    <col min="8515" max="8515" width="10.42578125" style="347" customWidth="1"/>
    <col min="8516" max="8516" width="11.42578125" style="347" customWidth="1"/>
    <col min="8517" max="8517" width="12.140625" style="347" customWidth="1"/>
    <col min="8518" max="8518" width="42.28515625" style="347" customWidth="1"/>
    <col min="8519" max="8770" width="9.140625" style="347"/>
    <col min="8771" max="8771" width="10.42578125" style="347" customWidth="1"/>
    <col min="8772" max="8772" width="11.42578125" style="347" customWidth="1"/>
    <col min="8773" max="8773" width="12.140625" style="347" customWidth="1"/>
    <col min="8774" max="8774" width="42.28515625" style="347" customWidth="1"/>
    <col min="8775" max="9026" width="9.140625" style="347"/>
    <col min="9027" max="9027" width="10.42578125" style="347" customWidth="1"/>
    <col min="9028" max="9028" width="11.42578125" style="347" customWidth="1"/>
    <col min="9029" max="9029" width="12.140625" style="347" customWidth="1"/>
    <col min="9030" max="9030" width="42.28515625" style="347" customWidth="1"/>
    <col min="9031" max="9282" width="9.140625" style="347"/>
    <col min="9283" max="9283" width="10.42578125" style="347" customWidth="1"/>
    <col min="9284" max="9284" width="11.42578125" style="347" customWidth="1"/>
    <col min="9285" max="9285" width="12.140625" style="347" customWidth="1"/>
    <col min="9286" max="9286" width="42.28515625" style="347" customWidth="1"/>
    <col min="9287" max="9538" width="9.140625" style="347"/>
    <col min="9539" max="9539" width="10.42578125" style="347" customWidth="1"/>
    <col min="9540" max="9540" width="11.42578125" style="347" customWidth="1"/>
    <col min="9541" max="9541" width="12.140625" style="347" customWidth="1"/>
    <col min="9542" max="9542" width="42.28515625" style="347" customWidth="1"/>
    <col min="9543" max="9794" width="9.140625" style="347"/>
    <col min="9795" max="9795" width="10.42578125" style="347" customWidth="1"/>
    <col min="9796" max="9796" width="11.42578125" style="347" customWidth="1"/>
    <col min="9797" max="9797" width="12.140625" style="347" customWidth="1"/>
    <col min="9798" max="9798" width="42.28515625" style="347" customWidth="1"/>
    <col min="9799" max="10050" width="9.140625" style="347"/>
    <col min="10051" max="10051" width="10.42578125" style="347" customWidth="1"/>
    <col min="10052" max="10052" width="11.42578125" style="347" customWidth="1"/>
    <col min="10053" max="10053" width="12.140625" style="347" customWidth="1"/>
    <col min="10054" max="10054" width="42.28515625" style="347" customWidth="1"/>
    <col min="10055" max="10306" width="9.140625" style="347"/>
    <col min="10307" max="10307" width="10.42578125" style="347" customWidth="1"/>
    <col min="10308" max="10308" width="11.42578125" style="347" customWidth="1"/>
    <col min="10309" max="10309" width="12.140625" style="347" customWidth="1"/>
    <col min="10310" max="10310" width="42.28515625" style="347" customWidth="1"/>
    <col min="10311" max="10562" width="9.140625" style="347"/>
    <col min="10563" max="10563" width="10.42578125" style="347" customWidth="1"/>
    <col min="10564" max="10564" width="11.42578125" style="347" customWidth="1"/>
    <col min="10565" max="10565" width="12.140625" style="347" customWidth="1"/>
    <col min="10566" max="10566" width="42.28515625" style="347" customWidth="1"/>
    <col min="10567" max="10818" width="9.140625" style="347"/>
    <col min="10819" max="10819" width="10.42578125" style="347" customWidth="1"/>
    <col min="10820" max="10820" width="11.42578125" style="347" customWidth="1"/>
    <col min="10821" max="10821" width="12.140625" style="347" customWidth="1"/>
    <col min="10822" max="10822" width="42.28515625" style="347" customWidth="1"/>
    <col min="10823" max="11074" width="9.140625" style="347"/>
    <col min="11075" max="11075" width="10.42578125" style="347" customWidth="1"/>
    <col min="11076" max="11076" width="11.42578125" style="347" customWidth="1"/>
    <col min="11077" max="11077" width="12.140625" style="347" customWidth="1"/>
    <col min="11078" max="11078" width="42.28515625" style="347" customWidth="1"/>
    <col min="11079" max="11330" width="9.140625" style="347"/>
    <col min="11331" max="11331" width="10.42578125" style="347" customWidth="1"/>
    <col min="11332" max="11332" width="11.42578125" style="347" customWidth="1"/>
    <col min="11333" max="11333" width="12.140625" style="347" customWidth="1"/>
    <col min="11334" max="11334" width="42.28515625" style="347" customWidth="1"/>
    <col min="11335" max="11586" width="9.140625" style="347"/>
    <col min="11587" max="11587" width="10.42578125" style="347" customWidth="1"/>
    <col min="11588" max="11588" width="11.42578125" style="347" customWidth="1"/>
    <col min="11589" max="11589" width="12.140625" style="347" customWidth="1"/>
    <col min="11590" max="11590" width="42.28515625" style="347" customWidth="1"/>
    <col min="11591" max="11842" width="9.140625" style="347"/>
    <col min="11843" max="11843" width="10.42578125" style="347" customWidth="1"/>
    <col min="11844" max="11844" width="11.42578125" style="347" customWidth="1"/>
    <col min="11845" max="11845" width="12.140625" style="347" customWidth="1"/>
    <col min="11846" max="11846" width="42.28515625" style="347" customWidth="1"/>
    <col min="11847" max="12098" width="9.140625" style="347"/>
    <col min="12099" max="12099" width="10.42578125" style="347" customWidth="1"/>
    <col min="12100" max="12100" width="11.42578125" style="347" customWidth="1"/>
    <col min="12101" max="12101" width="12.140625" style="347" customWidth="1"/>
    <col min="12102" max="12102" width="42.28515625" style="347" customWidth="1"/>
    <col min="12103" max="12354" width="9.140625" style="347"/>
    <col min="12355" max="12355" width="10.42578125" style="347" customWidth="1"/>
    <col min="12356" max="12356" width="11.42578125" style="347" customWidth="1"/>
    <col min="12357" max="12357" width="12.140625" style="347" customWidth="1"/>
    <col min="12358" max="12358" width="42.28515625" style="347" customWidth="1"/>
    <col min="12359" max="12610" width="9.140625" style="347"/>
    <col min="12611" max="12611" width="10.42578125" style="347" customWidth="1"/>
    <col min="12612" max="12612" width="11.42578125" style="347" customWidth="1"/>
    <col min="12613" max="12613" width="12.140625" style="347" customWidth="1"/>
    <col min="12614" max="12614" width="42.28515625" style="347" customWidth="1"/>
    <col min="12615" max="12866" width="9.140625" style="347"/>
    <col min="12867" max="12867" width="10.42578125" style="347" customWidth="1"/>
    <col min="12868" max="12868" width="11.42578125" style="347" customWidth="1"/>
    <col min="12869" max="12869" width="12.140625" style="347" customWidth="1"/>
    <col min="12870" max="12870" width="42.28515625" style="347" customWidth="1"/>
    <col min="12871" max="13122" width="9.140625" style="347"/>
    <col min="13123" max="13123" width="10.42578125" style="347" customWidth="1"/>
    <col min="13124" max="13124" width="11.42578125" style="347" customWidth="1"/>
    <col min="13125" max="13125" width="12.140625" style="347" customWidth="1"/>
    <col min="13126" max="13126" width="42.28515625" style="347" customWidth="1"/>
    <col min="13127" max="13378" width="9.140625" style="347"/>
    <col min="13379" max="13379" width="10.42578125" style="347" customWidth="1"/>
    <col min="13380" max="13380" width="11.42578125" style="347" customWidth="1"/>
    <col min="13381" max="13381" width="12.140625" style="347" customWidth="1"/>
    <col min="13382" max="13382" width="42.28515625" style="347" customWidth="1"/>
    <col min="13383" max="13634" width="9.140625" style="347"/>
    <col min="13635" max="13635" width="10.42578125" style="347" customWidth="1"/>
    <col min="13636" max="13636" width="11.42578125" style="347" customWidth="1"/>
    <col min="13637" max="13637" width="12.140625" style="347" customWidth="1"/>
    <col min="13638" max="13638" width="42.28515625" style="347" customWidth="1"/>
    <col min="13639" max="13890" width="9.140625" style="347"/>
    <col min="13891" max="13891" width="10.42578125" style="347" customWidth="1"/>
    <col min="13892" max="13892" width="11.42578125" style="347" customWidth="1"/>
    <col min="13893" max="13893" width="12.140625" style="347" customWidth="1"/>
    <col min="13894" max="13894" width="42.28515625" style="347" customWidth="1"/>
    <col min="13895" max="14146" width="9.140625" style="347"/>
    <col min="14147" max="14147" width="10.42578125" style="347" customWidth="1"/>
    <col min="14148" max="14148" width="11.42578125" style="347" customWidth="1"/>
    <col min="14149" max="14149" width="12.140625" style="347" customWidth="1"/>
    <col min="14150" max="14150" width="42.28515625" style="347" customWidth="1"/>
    <col min="14151" max="14402" width="9.140625" style="347"/>
    <col min="14403" max="14403" width="10.42578125" style="347" customWidth="1"/>
    <col min="14404" max="14404" width="11.42578125" style="347" customWidth="1"/>
    <col min="14405" max="14405" width="12.140625" style="347" customWidth="1"/>
    <col min="14406" max="14406" width="42.28515625" style="347" customWidth="1"/>
    <col min="14407" max="14658" width="9.140625" style="347"/>
    <col min="14659" max="14659" width="10.42578125" style="347" customWidth="1"/>
    <col min="14660" max="14660" width="11.42578125" style="347" customWidth="1"/>
    <col min="14661" max="14661" width="12.140625" style="347" customWidth="1"/>
    <col min="14662" max="14662" width="42.28515625" style="347" customWidth="1"/>
    <col min="14663" max="14914" width="9.140625" style="347"/>
    <col min="14915" max="14915" width="10.42578125" style="347" customWidth="1"/>
    <col min="14916" max="14916" width="11.42578125" style="347" customWidth="1"/>
    <col min="14917" max="14917" width="12.140625" style="347" customWidth="1"/>
    <col min="14918" max="14918" width="42.28515625" style="347" customWidth="1"/>
    <col min="14919" max="15170" width="9.140625" style="347"/>
    <col min="15171" max="15171" width="10.42578125" style="347" customWidth="1"/>
    <col min="15172" max="15172" width="11.42578125" style="347" customWidth="1"/>
    <col min="15173" max="15173" width="12.140625" style="347" customWidth="1"/>
    <col min="15174" max="15174" width="42.28515625" style="347" customWidth="1"/>
    <col min="15175" max="15426" width="9.140625" style="347"/>
    <col min="15427" max="15427" width="10.42578125" style="347" customWidth="1"/>
    <col min="15428" max="15428" width="11.42578125" style="347" customWidth="1"/>
    <col min="15429" max="15429" width="12.140625" style="347" customWidth="1"/>
    <col min="15430" max="15430" width="42.28515625" style="347" customWidth="1"/>
    <col min="15431" max="15682" width="9.140625" style="347"/>
    <col min="15683" max="15683" width="10.42578125" style="347" customWidth="1"/>
    <col min="15684" max="15684" width="11.42578125" style="347" customWidth="1"/>
    <col min="15685" max="15685" width="12.140625" style="347" customWidth="1"/>
    <col min="15686" max="15686" width="42.28515625" style="347" customWidth="1"/>
    <col min="15687" max="15938" width="9.140625" style="347"/>
    <col min="15939" max="15939" width="10.42578125" style="347" customWidth="1"/>
    <col min="15940" max="15940" width="11.42578125" style="347" customWidth="1"/>
    <col min="15941" max="15941" width="12.140625" style="347" customWidth="1"/>
    <col min="15942" max="15942" width="42.28515625" style="347" customWidth="1"/>
    <col min="15943" max="16303" width="9.140625" style="347"/>
    <col min="16304" max="16313" width="11.42578125" style="347" customWidth="1"/>
    <col min="16314" max="16325" width="9.140625" style="347"/>
    <col min="16326" max="16381" width="11.42578125" style="347" customWidth="1"/>
    <col min="16382" max="16384" width="9.140625" style="347"/>
  </cols>
  <sheetData>
    <row r="1" spans="1:176" s="272" customFormat="1" ht="25.5" customHeight="1" x14ac:dyDescent="0.25">
      <c r="A1" s="273" t="s">
        <v>29</v>
      </c>
      <c r="C1" s="274"/>
      <c r="D1" s="275"/>
      <c r="F1" s="275"/>
      <c r="G1" s="276"/>
      <c r="H1" s="277"/>
      <c r="I1" s="277"/>
      <c r="J1" s="277"/>
      <c r="K1" s="277"/>
      <c r="L1" s="277"/>
      <c r="M1" s="277"/>
      <c r="N1" s="277"/>
      <c r="O1" s="278"/>
      <c r="P1" s="277"/>
      <c r="Q1" s="277"/>
      <c r="R1" s="277"/>
      <c r="S1" s="277"/>
      <c r="T1" s="277"/>
      <c r="U1" s="279"/>
      <c r="V1" s="279"/>
      <c r="W1" s="279"/>
      <c r="X1" s="279"/>
      <c r="Y1" s="279"/>
      <c r="Z1" s="279"/>
      <c r="AA1" s="279"/>
      <c r="AB1" s="279"/>
      <c r="AC1" s="279"/>
      <c r="AD1" s="279"/>
      <c r="AE1" s="279"/>
      <c r="AF1" s="279"/>
      <c r="AG1" s="279"/>
      <c r="AH1" s="279"/>
      <c r="AI1" s="280"/>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81"/>
      <c r="BR1" s="281"/>
      <c r="BS1" s="281"/>
      <c r="BT1" s="279"/>
      <c r="BU1" s="279"/>
      <c r="BV1" s="279"/>
      <c r="BW1" s="279"/>
      <c r="BX1" s="279"/>
      <c r="BY1" s="279"/>
      <c r="BZ1" s="279"/>
      <c r="CA1" s="279"/>
      <c r="CB1" s="279"/>
      <c r="CC1" s="279"/>
      <c r="CD1" s="279"/>
      <c r="CE1" s="279"/>
      <c r="CF1" s="279"/>
      <c r="CG1" s="279"/>
      <c r="CH1" s="279"/>
      <c r="CI1" s="279"/>
      <c r="CJ1" s="279"/>
      <c r="CK1" s="279"/>
      <c r="CL1" s="279"/>
      <c r="CM1" s="279"/>
      <c r="CN1" s="279"/>
      <c r="CR1" s="279"/>
      <c r="CS1" s="279"/>
      <c r="CT1" s="279"/>
      <c r="DP1" s="282" t="s">
        <v>909</v>
      </c>
    </row>
    <row r="2" spans="1:176" s="272" customFormat="1" ht="25.5" customHeight="1" x14ac:dyDescent="0.25">
      <c r="A2" s="273" t="s">
        <v>286</v>
      </c>
      <c r="C2" s="274"/>
      <c r="D2" s="275"/>
      <c r="F2" s="275"/>
      <c r="G2" s="276"/>
      <c r="H2" s="277"/>
      <c r="I2" s="277"/>
      <c r="J2" s="277"/>
      <c r="K2" s="277"/>
      <c r="L2" s="277"/>
      <c r="M2" s="277"/>
      <c r="N2" s="277"/>
      <c r="O2" s="278"/>
      <c r="P2" s="277"/>
      <c r="Q2" s="277"/>
      <c r="R2" s="277"/>
      <c r="S2" s="277"/>
      <c r="T2" s="277"/>
      <c r="U2" s="279"/>
      <c r="V2" s="279"/>
      <c r="W2" s="279"/>
      <c r="X2" s="279"/>
      <c r="Y2" s="279"/>
      <c r="Z2" s="279"/>
      <c r="AA2" s="279"/>
      <c r="AB2" s="279"/>
      <c r="AC2" s="279"/>
      <c r="AD2" s="279"/>
      <c r="AE2" s="279"/>
      <c r="AF2" s="279"/>
      <c r="AG2" s="279"/>
      <c r="AH2" s="279"/>
      <c r="AI2" s="280"/>
      <c r="AJ2" s="279"/>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279"/>
      <c r="BJ2" s="279"/>
      <c r="BK2" s="279"/>
      <c r="BL2" s="279"/>
      <c r="BM2" s="279"/>
      <c r="BN2" s="279"/>
      <c r="BO2" s="279"/>
      <c r="BP2" s="279"/>
      <c r="BQ2" s="281"/>
      <c r="BR2" s="281"/>
      <c r="BS2" s="281"/>
      <c r="BT2" s="279"/>
      <c r="BU2" s="279"/>
      <c r="BV2" s="279"/>
      <c r="BW2" s="279"/>
      <c r="BX2" s="279"/>
      <c r="BY2" s="279"/>
      <c r="BZ2" s="279"/>
      <c r="CA2" s="279"/>
      <c r="CB2" s="279"/>
      <c r="CC2" s="279"/>
      <c r="CD2" s="279"/>
      <c r="CE2" s="279"/>
      <c r="CF2" s="279"/>
      <c r="CG2" s="279"/>
      <c r="CH2" s="279"/>
      <c r="CI2" s="279"/>
      <c r="CJ2" s="279"/>
      <c r="CK2" s="279"/>
      <c r="CL2" s="279"/>
      <c r="CM2" s="279"/>
      <c r="CN2" s="279"/>
      <c r="CR2" s="279"/>
      <c r="CS2" s="279"/>
      <c r="CT2" s="279"/>
      <c r="DP2" s="17" t="s">
        <v>10</v>
      </c>
    </row>
    <row r="3" spans="1:176" s="272" customFormat="1" ht="25.5" customHeight="1" x14ac:dyDescent="0.3">
      <c r="A3" s="283" t="s">
        <v>423</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3"/>
      <c r="AX3" s="283"/>
      <c r="AY3" s="283"/>
      <c r="AZ3" s="283"/>
      <c r="BA3" s="283"/>
      <c r="BB3" s="283"/>
      <c r="BC3" s="283"/>
      <c r="BD3" s="283"/>
      <c r="BE3" s="283"/>
      <c r="BF3" s="283"/>
      <c r="BG3" s="283"/>
      <c r="BH3" s="283"/>
      <c r="BI3" s="283"/>
      <c r="BJ3" s="283"/>
      <c r="BK3" s="283"/>
      <c r="BL3" s="283"/>
      <c r="BM3" s="283"/>
      <c r="BN3" s="283"/>
      <c r="BO3" s="283"/>
      <c r="BP3" s="283"/>
      <c r="BQ3" s="283"/>
      <c r="BR3" s="283"/>
      <c r="BS3" s="283"/>
      <c r="BT3" s="283"/>
      <c r="BU3" s="283"/>
      <c r="BV3" s="283"/>
      <c r="BW3" s="283"/>
      <c r="BX3" s="283"/>
      <c r="BY3" s="283"/>
      <c r="BZ3" s="283"/>
      <c r="CA3" s="283"/>
      <c r="CB3" s="283"/>
      <c r="CC3" s="283"/>
      <c r="CD3" s="283"/>
      <c r="CE3" s="283"/>
      <c r="CF3" s="283"/>
      <c r="CG3" s="283"/>
      <c r="CH3" s="283"/>
      <c r="CI3" s="283"/>
      <c r="CJ3" s="283"/>
      <c r="CK3" s="283"/>
      <c r="CL3" s="283"/>
      <c r="CM3" s="283"/>
      <c r="CN3" s="283"/>
      <c r="CO3" s="283"/>
      <c r="CP3" s="283"/>
      <c r="CQ3" s="283"/>
      <c r="CR3" s="283"/>
      <c r="CS3" s="283"/>
      <c r="CT3" s="283"/>
      <c r="CU3" s="283"/>
      <c r="CV3" s="283"/>
      <c r="CW3" s="283"/>
      <c r="CX3" s="283"/>
      <c r="CY3" s="283"/>
      <c r="CZ3" s="283"/>
      <c r="DA3" s="283"/>
      <c r="DB3" s="283"/>
      <c r="DC3" s="283"/>
      <c r="DD3" s="283"/>
      <c r="DE3" s="283"/>
      <c r="DF3" s="283"/>
      <c r="DG3" s="283"/>
      <c r="DH3" s="283"/>
      <c r="DI3" s="283"/>
      <c r="DJ3" s="283"/>
      <c r="DK3" s="283"/>
      <c r="DL3" s="283"/>
      <c r="DM3" s="283"/>
      <c r="DN3" s="283"/>
      <c r="DO3" s="283"/>
      <c r="DP3" s="283"/>
      <c r="DQ3" s="283"/>
      <c r="DR3" s="283"/>
      <c r="DS3" s="283"/>
      <c r="DT3" s="283"/>
      <c r="DU3" s="283"/>
      <c r="DV3" s="283"/>
      <c r="DW3" s="283"/>
      <c r="DX3" s="283"/>
      <c r="DY3" s="283"/>
      <c r="DZ3" s="283"/>
      <c r="EA3" s="283"/>
      <c r="EB3" s="283"/>
      <c r="EC3" s="283"/>
      <c r="ED3" s="283"/>
      <c r="EE3" s="283"/>
      <c r="EF3" s="283"/>
      <c r="EG3" s="283"/>
      <c r="EH3" s="283"/>
      <c r="EI3" s="283"/>
      <c r="EJ3" s="283"/>
      <c r="EK3" s="283"/>
      <c r="EL3" s="283"/>
      <c r="EM3" s="283"/>
      <c r="EN3" s="283"/>
      <c r="EO3" s="283"/>
      <c r="EP3" s="283"/>
      <c r="EQ3" s="283"/>
      <c r="ER3" s="283"/>
      <c r="ES3" s="283"/>
      <c r="ET3" s="283"/>
      <c r="EU3" s="283"/>
      <c r="EV3" s="283"/>
      <c r="EW3" s="283"/>
      <c r="EX3" s="283"/>
      <c r="EY3" s="283"/>
      <c r="EZ3" s="283"/>
      <c r="FA3" s="283"/>
      <c r="FB3" s="283"/>
      <c r="FC3" s="283"/>
      <c r="FD3" s="283"/>
      <c r="FE3" s="283"/>
      <c r="FF3" s="283"/>
      <c r="FG3" s="283"/>
      <c r="FH3" s="283"/>
      <c r="FI3" s="283"/>
      <c r="FJ3" s="283"/>
      <c r="FK3" s="283"/>
      <c r="FL3" s="283"/>
      <c r="FM3" s="283"/>
      <c r="FN3" s="283"/>
      <c r="FO3" s="283"/>
      <c r="FP3" s="283"/>
      <c r="FQ3" s="283"/>
      <c r="FR3" s="283"/>
      <c r="FS3" s="283"/>
      <c r="FT3" s="283"/>
    </row>
    <row r="4" spans="1:176" s="272" customFormat="1" ht="25.5" customHeight="1" x14ac:dyDescent="0.2">
      <c r="A4" s="284"/>
      <c r="B4" s="284"/>
      <c r="D4" s="274"/>
      <c r="E4" s="275"/>
      <c r="G4" s="275"/>
      <c r="H4" s="276"/>
      <c r="I4" s="277"/>
      <c r="J4" s="277"/>
      <c r="K4" s="277"/>
      <c r="L4" s="277"/>
      <c r="M4" s="277"/>
      <c r="N4" s="277"/>
      <c r="O4" s="277"/>
      <c r="P4" s="278"/>
      <c r="Q4" s="277"/>
      <c r="R4" s="277"/>
      <c r="S4" s="277"/>
      <c r="T4" s="277"/>
      <c r="U4" s="277"/>
      <c r="V4" s="279"/>
      <c r="W4" s="279"/>
      <c r="X4" s="279"/>
      <c r="Y4" s="279"/>
      <c r="Z4" s="279"/>
      <c r="AA4" s="279"/>
      <c r="AB4" s="279"/>
      <c r="AC4" s="279"/>
      <c r="AD4" s="285"/>
      <c r="AE4" s="285"/>
      <c r="AF4" s="279"/>
      <c r="AG4" s="279"/>
      <c r="AH4" s="279"/>
      <c r="AI4" s="279"/>
      <c r="AJ4" s="280"/>
      <c r="AK4" s="279"/>
      <c r="AL4" s="279"/>
      <c r="AM4" s="279"/>
      <c r="AN4" s="279"/>
      <c r="AO4" s="279"/>
      <c r="AP4" s="279"/>
      <c r="AQ4" s="279"/>
      <c r="AR4" s="279"/>
      <c r="AS4" s="279"/>
      <c r="AT4" s="279"/>
      <c r="AU4" s="279"/>
      <c r="AV4" s="279"/>
      <c r="AW4" s="279"/>
      <c r="AX4" s="279"/>
      <c r="AY4" s="279"/>
      <c r="AZ4" s="279"/>
      <c r="BA4" s="279"/>
      <c r="BB4" s="279"/>
      <c r="BC4" s="279"/>
      <c r="BD4" s="279"/>
      <c r="BE4" s="279"/>
      <c r="BF4" s="279"/>
      <c r="BG4" s="279"/>
      <c r="BH4" s="279"/>
      <c r="BI4" s="279"/>
      <c r="BJ4" s="279"/>
      <c r="BK4" s="279"/>
      <c r="BL4" s="279"/>
      <c r="BM4" s="279"/>
      <c r="BN4" s="279"/>
      <c r="BO4" s="279"/>
      <c r="BP4" s="279"/>
      <c r="BQ4" s="279"/>
      <c r="BR4" s="281"/>
      <c r="BS4" s="281"/>
      <c r="BT4" s="281"/>
      <c r="BU4" s="279"/>
      <c r="BV4" s="279"/>
      <c r="BW4" s="279"/>
      <c r="BX4" s="279"/>
      <c r="BY4" s="279"/>
      <c r="BZ4" s="279"/>
      <c r="CA4" s="279"/>
      <c r="CB4" s="279"/>
      <c r="CC4" s="279"/>
      <c r="CD4" s="279"/>
      <c r="CE4" s="279"/>
      <c r="CF4" s="279"/>
      <c r="CG4" s="279"/>
      <c r="CH4" s="279"/>
      <c r="CI4" s="279"/>
      <c r="CJ4" s="279"/>
      <c r="CK4" s="279"/>
      <c r="CL4" s="279"/>
      <c r="CM4" s="279"/>
      <c r="CN4" s="279"/>
      <c r="CO4" s="279"/>
      <c r="CS4" s="279"/>
      <c r="CT4" s="279"/>
      <c r="CU4" s="279"/>
    </row>
    <row r="5" spans="1:176" s="337" customFormat="1" ht="21.75" customHeight="1" x14ac:dyDescent="0.25">
      <c r="A5" s="287"/>
      <c r="B5" s="331"/>
      <c r="C5" s="332" t="s">
        <v>560</v>
      </c>
      <c r="D5" s="331"/>
      <c r="E5" s="331"/>
      <c r="F5" s="331"/>
      <c r="G5" s="331"/>
      <c r="H5" s="333"/>
      <c r="I5" s="334" t="s">
        <v>561</v>
      </c>
      <c r="J5" s="334"/>
      <c r="K5" s="335" t="s">
        <v>562</v>
      </c>
      <c r="L5" s="335"/>
      <c r="M5" s="334" t="s">
        <v>563</v>
      </c>
      <c r="N5" s="334"/>
      <c r="O5" s="335" t="s">
        <v>564</v>
      </c>
      <c r="P5" s="335"/>
      <c r="Q5" s="334" t="s">
        <v>565</v>
      </c>
      <c r="R5" s="334"/>
      <c r="S5" s="335" t="s">
        <v>566</v>
      </c>
      <c r="T5" s="335"/>
      <c r="U5" s="334" t="s">
        <v>567</v>
      </c>
      <c r="V5" s="334"/>
      <c r="W5" s="335" t="s">
        <v>568</v>
      </c>
      <c r="X5" s="335"/>
      <c r="Y5" s="334" t="s">
        <v>569</v>
      </c>
      <c r="Z5" s="334"/>
      <c r="AA5" s="335" t="s">
        <v>570</v>
      </c>
      <c r="AB5" s="335"/>
      <c r="AC5" s="334" t="s">
        <v>571</v>
      </c>
      <c r="AD5" s="334"/>
      <c r="AE5" s="335" t="s">
        <v>572</v>
      </c>
      <c r="AF5" s="335"/>
      <c r="AG5" s="334" t="s">
        <v>573</v>
      </c>
      <c r="AH5" s="334"/>
      <c r="AI5" s="335" t="s">
        <v>574</v>
      </c>
      <c r="AJ5" s="335"/>
      <c r="AK5" s="334" t="s">
        <v>440</v>
      </c>
      <c r="AL5" s="334"/>
      <c r="AM5" s="335" t="s">
        <v>441</v>
      </c>
      <c r="AN5" s="335"/>
      <c r="AO5" s="334" t="s">
        <v>442</v>
      </c>
      <c r="AP5" s="334"/>
      <c r="AQ5" s="335" t="s">
        <v>443</v>
      </c>
      <c r="AR5" s="335"/>
      <c r="AS5" s="334" t="s">
        <v>444</v>
      </c>
      <c r="AT5" s="334"/>
      <c r="AU5" s="335" t="s">
        <v>445</v>
      </c>
      <c r="AV5" s="335"/>
      <c r="AW5" s="336" t="s">
        <v>446</v>
      </c>
      <c r="AX5" s="336"/>
      <c r="AY5" s="335" t="s">
        <v>447</v>
      </c>
      <c r="AZ5" s="335"/>
      <c r="BA5" s="334" t="s">
        <v>448</v>
      </c>
      <c r="BB5" s="334"/>
      <c r="BC5" s="335" t="s">
        <v>449</v>
      </c>
      <c r="BD5" s="335"/>
      <c r="BE5" s="334" t="s">
        <v>450</v>
      </c>
      <c r="BF5" s="334"/>
      <c r="BG5" s="335" t="s">
        <v>451</v>
      </c>
      <c r="BH5" s="335"/>
      <c r="BI5" s="334" t="s">
        <v>452</v>
      </c>
      <c r="BJ5" s="334"/>
      <c r="BK5" s="335" t="s">
        <v>453</v>
      </c>
      <c r="BL5" s="335"/>
      <c r="BM5" s="334" t="s">
        <v>454</v>
      </c>
      <c r="BN5" s="334"/>
      <c r="BO5" s="335" t="s">
        <v>455</v>
      </c>
      <c r="BP5" s="335"/>
      <c r="BQ5" s="334" t="s">
        <v>456</v>
      </c>
      <c r="BR5" s="334"/>
      <c r="BS5" s="335" t="s">
        <v>457</v>
      </c>
      <c r="BT5" s="335"/>
      <c r="BU5" s="334" t="s">
        <v>458</v>
      </c>
      <c r="BV5" s="334"/>
      <c r="BW5" s="335" t="s">
        <v>459</v>
      </c>
      <c r="BX5" s="335"/>
      <c r="BY5" s="334" t="s">
        <v>460</v>
      </c>
      <c r="BZ5" s="334"/>
      <c r="CA5" s="335" t="s">
        <v>461</v>
      </c>
      <c r="CB5" s="335"/>
      <c r="CC5" s="334" t="s">
        <v>462</v>
      </c>
      <c r="CD5" s="334"/>
      <c r="CE5" s="335" t="s">
        <v>463</v>
      </c>
      <c r="CF5" s="335"/>
      <c r="CG5" s="334" t="s">
        <v>464</v>
      </c>
      <c r="CH5" s="334"/>
      <c r="CI5" s="335" t="s">
        <v>465</v>
      </c>
      <c r="CJ5" s="335"/>
      <c r="CK5" s="334" t="s">
        <v>466</v>
      </c>
      <c r="CL5" s="334"/>
      <c r="CM5" s="335" t="s">
        <v>467</v>
      </c>
      <c r="CN5" s="335"/>
      <c r="CO5" s="334" t="s">
        <v>468</v>
      </c>
      <c r="CP5" s="334"/>
      <c r="CQ5" s="334" t="s">
        <v>469</v>
      </c>
      <c r="CR5" s="334"/>
      <c r="CS5" s="334" t="s">
        <v>470</v>
      </c>
      <c r="CT5" s="334"/>
      <c r="CU5" s="334" t="s">
        <v>471</v>
      </c>
      <c r="CV5" s="334"/>
      <c r="CW5" s="334" t="s">
        <v>472</v>
      </c>
      <c r="CX5" s="334"/>
      <c r="CY5" s="334" t="s">
        <v>473</v>
      </c>
      <c r="CZ5" s="334"/>
      <c r="DA5" s="334" t="s">
        <v>474</v>
      </c>
      <c r="DB5" s="334"/>
      <c r="DC5" s="334" t="s">
        <v>475</v>
      </c>
      <c r="DD5" s="334"/>
      <c r="DE5" s="334" t="s">
        <v>476</v>
      </c>
      <c r="DF5" s="334"/>
      <c r="DG5" s="334" t="s">
        <v>477</v>
      </c>
      <c r="DH5" s="334"/>
      <c r="DI5" s="334" t="s">
        <v>478</v>
      </c>
      <c r="DJ5" s="334"/>
      <c r="DK5" s="334" t="s">
        <v>479</v>
      </c>
      <c r="DL5" s="334"/>
      <c r="DM5" s="334" t="s">
        <v>480</v>
      </c>
      <c r="DN5" s="334"/>
      <c r="DO5" s="334" t="s">
        <v>481</v>
      </c>
      <c r="DP5" s="334"/>
    </row>
    <row r="6" spans="1:176" s="338" customFormat="1" ht="39.75" customHeight="1" x14ac:dyDescent="0.2">
      <c r="A6" s="287"/>
      <c r="H6" s="339"/>
      <c r="I6" s="340" t="s">
        <v>575</v>
      </c>
      <c r="J6" s="340" t="s">
        <v>576</v>
      </c>
      <c r="K6" s="341" t="s">
        <v>575</v>
      </c>
      <c r="L6" s="341" t="s">
        <v>576</v>
      </c>
      <c r="M6" s="340" t="s">
        <v>575</v>
      </c>
      <c r="N6" s="340" t="s">
        <v>576</v>
      </c>
      <c r="O6" s="341" t="s">
        <v>575</v>
      </c>
      <c r="P6" s="341" t="s">
        <v>576</v>
      </c>
      <c r="Q6" s="340" t="s">
        <v>575</v>
      </c>
      <c r="R6" s="340" t="s">
        <v>576</v>
      </c>
      <c r="S6" s="341" t="s">
        <v>575</v>
      </c>
      <c r="T6" s="341" t="s">
        <v>576</v>
      </c>
      <c r="U6" s="340" t="s">
        <v>575</v>
      </c>
      <c r="V6" s="340" t="s">
        <v>576</v>
      </c>
      <c r="W6" s="341" t="s">
        <v>575</v>
      </c>
      <c r="X6" s="341" t="s">
        <v>576</v>
      </c>
      <c r="Y6" s="340" t="s">
        <v>575</v>
      </c>
      <c r="Z6" s="340" t="s">
        <v>576</v>
      </c>
      <c r="AA6" s="341" t="s">
        <v>575</v>
      </c>
      <c r="AB6" s="341" t="s">
        <v>576</v>
      </c>
      <c r="AC6" s="340" t="s">
        <v>575</v>
      </c>
      <c r="AD6" s="340" t="s">
        <v>576</v>
      </c>
      <c r="AE6" s="341" t="s">
        <v>575</v>
      </c>
      <c r="AF6" s="341" t="s">
        <v>576</v>
      </c>
      <c r="AG6" s="340" t="s">
        <v>575</v>
      </c>
      <c r="AH6" s="340" t="s">
        <v>576</v>
      </c>
      <c r="AI6" s="341" t="s">
        <v>575</v>
      </c>
      <c r="AJ6" s="341" t="s">
        <v>576</v>
      </c>
      <c r="AK6" s="340" t="s">
        <v>575</v>
      </c>
      <c r="AL6" s="340" t="s">
        <v>576</v>
      </c>
      <c r="AM6" s="341" t="s">
        <v>575</v>
      </c>
      <c r="AN6" s="341" t="s">
        <v>576</v>
      </c>
      <c r="AO6" s="340" t="s">
        <v>575</v>
      </c>
      <c r="AP6" s="340" t="s">
        <v>576</v>
      </c>
      <c r="AQ6" s="341" t="s">
        <v>575</v>
      </c>
      <c r="AR6" s="341" t="s">
        <v>576</v>
      </c>
      <c r="AS6" s="340" t="s">
        <v>575</v>
      </c>
      <c r="AT6" s="340" t="s">
        <v>576</v>
      </c>
      <c r="AU6" s="341" t="s">
        <v>575</v>
      </c>
      <c r="AV6" s="341" t="s">
        <v>576</v>
      </c>
      <c r="AW6" s="340" t="s">
        <v>575</v>
      </c>
      <c r="AX6" s="340" t="s">
        <v>576</v>
      </c>
      <c r="AY6" s="341" t="s">
        <v>575</v>
      </c>
      <c r="AZ6" s="341" t="s">
        <v>576</v>
      </c>
      <c r="BA6" s="340" t="s">
        <v>575</v>
      </c>
      <c r="BB6" s="340" t="s">
        <v>576</v>
      </c>
      <c r="BC6" s="341" t="s">
        <v>575</v>
      </c>
      <c r="BD6" s="341" t="s">
        <v>576</v>
      </c>
      <c r="BE6" s="340" t="s">
        <v>575</v>
      </c>
      <c r="BF6" s="340" t="s">
        <v>576</v>
      </c>
      <c r="BG6" s="341" t="s">
        <v>575</v>
      </c>
      <c r="BH6" s="341" t="s">
        <v>576</v>
      </c>
      <c r="BI6" s="340" t="s">
        <v>575</v>
      </c>
      <c r="BJ6" s="340" t="s">
        <v>576</v>
      </c>
      <c r="BK6" s="341" t="s">
        <v>575</v>
      </c>
      <c r="BL6" s="341" t="s">
        <v>576</v>
      </c>
      <c r="BM6" s="340" t="s">
        <v>575</v>
      </c>
      <c r="BN6" s="340" t="s">
        <v>576</v>
      </c>
      <c r="BO6" s="341" t="s">
        <v>575</v>
      </c>
      <c r="BP6" s="341" t="s">
        <v>576</v>
      </c>
      <c r="BQ6" s="340" t="s">
        <v>575</v>
      </c>
      <c r="BR6" s="340" t="s">
        <v>576</v>
      </c>
      <c r="BS6" s="341" t="s">
        <v>575</v>
      </c>
      <c r="BT6" s="341" t="s">
        <v>576</v>
      </c>
      <c r="BU6" s="340" t="s">
        <v>575</v>
      </c>
      <c r="BV6" s="340" t="s">
        <v>576</v>
      </c>
      <c r="BW6" s="341" t="s">
        <v>575</v>
      </c>
      <c r="BX6" s="341" t="s">
        <v>576</v>
      </c>
      <c r="BY6" s="340" t="s">
        <v>575</v>
      </c>
      <c r="BZ6" s="340" t="s">
        <v>576</v>
      </c>
      <c r="CA6" s="341" t="s">
        <v>575</v>
      </c>
      <c r="CB6" s="341" t="s">
        <v>576</v>
      </c>
      <c r="CC6" s="340" t="s">
        <v>575</v>
      </c>
      <c r="CD6" s="340" t="s">
        <v>576</v>
      </c>
      <c r="CE6" s="341" t="s">
        <v>575</v>
      </c>
      <c r="CF6" s="341" t="s">
        <v>576</v>
      </c>
      <c r="CG6" s="340" t="s">
        <v>575</v>
      </c>
      <c r="CH6" s="340" t="s">
        <v>576</v>
      </c>
      <c r="CI6" s="341" t="s">
        <v>575</v>
      </c>
      <c r="CJ6" s="341" t="s">
        <v>576</v>
      </c>
      <c r="CK6" s="340" t="s">
        <v>575</v>
      </c>
      <c r="CL6" s="340" t="s">
        <v>576</v>
      </c>
      <c r="CM6" s="341" t="s">
        <v>575</v>
      </c>
      <c r="CN6" s="341" t="s">
        <v>576</v>
      </c>
      <c r="CO6" s="340" t="s">
        <v>575</v>
      </c>
      <c r="CP6" s="340" t="s">
        <v>576</v>
      </c>
      <c r="CQ6" s="340" t="s">
        <v>575</v>
      </c>
      <c r="CR6" s="340" t="s">
        <v>576</v>
      </c>
      <c r="CS6" s="340" t="s">
        <v>575</v>
      </c>
      <c r="CT6" s="340" t="s">
        <v>576</v>
      </c>
      <c r="CU6" s="340" t="s">
        <v>575</v>
      </c>
      <c r="CV6" s="340" t="s">
        <v>576</v>
      </c>
      <c r="CW6" s="340" t="s">
        <v>575</v>
      </c>
      <c r="CX6" s="340" t="s">
        <v>576</v>
      </c>
      <c r="CY6" s="340" t="s">
        <v>575</v>
      </c>
      <c r="CZ6" s="340" t="s">
        <v>576</v>
      </c>
      <c r="DA6" s="340" t="s">
        <v>575</v>
      </c>
      <c r="DB6" s="340" t="s">
        <v>576</v>
      </c>
      <c r="DC6" s="340" t="s">
        <v>575</v>
      </c>
      <c r="DD6" s="340" t="s">
        <v>576</v>
      </c>
      <c r="DE6" s="340" t="s">
        <v>575</v>
      </c>
      <c r="DF6" s="340" t="s">
        <v>576</v>
      </c>
      <c r="DG6" s="340" t="s">
        <v>575</v>
      </c>
      <c r="DH6" s="340" t="s">
        <v>576</v>
      </c>
      <c r="DI6" s="340" t="s">
        <v>575</v>
      </c>
      <c r="DJ6" s="340" t="s">
        <v>576</v>
      </c>
      <c r="DK6" s="340" t="s">
        <v>575</v>
      </c>
      <c r="DL6" s="340" t="s">
        <v>576</v>
      </c>
      <c r="DM6" s="340" t="s">
        <v>575</v>
      </c>
      <c r="DN6" s="340" t="s">
        <v>576</v>
      </c>
      <c r="DO6" s="340" t="s">
        <v>575</v>
      </c>
      <c r="DP6" s="340" t="s">
        <v>576</v>
      </c>
    </row>
    <row r="7" spans="1:176" s="338" customFormat="1" ht="12" customHeight="1" x14ac:dyDescent="0.2">
      <c r="A7" s="284"/>
      <c r="H7" s="339"/>
      <c r="I7" s="339"/>
      <c r="J7" s="339"/>
      <c r="K7" s="342"/>
      <c r="L7" s="342"/>
      <c r="M7" s="339"/>
      <c r="N7" s="339"/>
      <c r="O7" s="342"/>
      <c r="P7" s="342"/>
      <c r="Q7" s="339"/>
      <c r="R7" s="339"/>
      <c r="S7" s="342"/>
      <c r="T7" s="342"/>
      <c r="U7" s="339"/>
      <c r="V7" s="339"/>
      <c r="W7" s="342"/>
      <c r="X7" s="342"/>
      <c r="Y7" s="339"/>
      <c r="Z7" s="339"/>
      <c r="AA7" s="342"/>
      <c r="AB7" s="342"/>
      <c r="AC7" s="339"/>
      <c r="AD7" s="339"/>
      <c r="AE7" s="342"/>
      <c r="AF7" s="342"/>
      <c r="AG7" s="339"/>
      <c r="AH7" s="339"/>
      <c r="AI7" s="342"/>
      <c r="AJ7" s="342"/>
      <c r="AK7" s="339"/>
      <c r="AL7" s="339"/>
      <c r="AM7" s="342"/>
      <c r="AN7" s="342"/>
      <c r="AO7" s="339"/>
      <c r="AP7" s="339"/>
      <c r="AQ7" s="342"/>
      <c r="AR7" s="342"/>
      <c r="AS7" s="339"/>
      <c r="AT7" s="339"/>
      <c r="AU7" s="342"/>
      <c r="AV7" s="342"/>
      <c r="AW7" s="343"/>
      <c r="AX7" s="343"/>
      <c r="AY7" s="342"/>
      <c r="AZ7" s="342"/>
      <c r="BA7" s="339"/>
      <c r="BB7" s="339"/>
      <c r="BC7" s="342"/>
      <c r="BD7" s="342"/>
      <c r="BE7" s="339"/>
      <c r="BF7" s="339"/>
      <c r="BG7" s="342"/>
      <c r="BH7" s="342"/>
      <c r="BI7" s="339"/>
      <c r="BJ7" s="339"/>
      <c r="BK7" s="342"/>
      <c r="BL7" s="342"/>
      <c r="BO7" s="342"/>
      <c r="BP7" s="342"/>
      <c r="BS7" s="342"/>
      <c r="BT7" s="342"/>
      <c r="BW7" s="342"/>
      <c r="BX7" s="342"/>
      <c r="CA7" s="342"/>
      <c r="CB7" s="342"/>
      <c r="CE7" s="342"/>
      <c r="CF7" s="342"/>
      <c r="CI7" s="342"/>
      <c r="CJ7" s="342"/>
      <c r="CM7" s="342"/>
      <c r="CN7" s="342"/>
      <c r="CQ7" s="342"/>
      <c r="CR7" s="342"/>
      <c r="CU7" s="342"/>
      <c r="CV7" s="342"/>
      <c r="CY7" s="342"/>
      <c r="CZ7" s="342"/>
      <c r="DC7" s="342"/>
      <c r="DD7" s="342"/>
      <c r="DG7" s="342"/>
      <c r="DH7" s="342"/>
      <c r="DK7" s="342"/>
      <c r="DL7" s="342"/>
      <c r="DO7" s="342"/>
      <c r="DP7" s="342"/>
    </row>
    <row r="8" spans="1:176" s="338" customFormat="1" ht="15" customHeight="1" x14ac:dyDescent="0.2">
      <c r="A8" s="284"/>
      <c r="C8" s="338" t="s">
        <v>577</v>
      </c>
      <c r="H8" s="339"/>
      <c r="I8" s="344">
        <v>927.51378993350841</v>
      </c>
      <c r="J8" s="344">
        <v>217.51579307269481</v>
      </c>
      <c r="K8" s="345">
        <v>1741.6653118687582</v>
      </c>
      <c r="L8" s="345">
        <v>529.80536327338541</v>
      </c>
      <c r="M8" s="344">
        <v>1714.8001044872333</v>
      </c>
      <c r="N8" s="344">
        <v>822.57776716492936</v>
      </c>
      <c r="O8" s="345">
        <v>1056.4551689517104</v>
      </c>
      <c r="P8" s="345">
        <v>-392.91310709156573</v>
      </c>
      <c r="Q8" s="344">
        <v>1035.9344666420543</v>
      </c>
      <c r="R8" s="344">
        <v>-241.80898198269676</v>
      </c>
      <c r="S8" s="345">
        <v>1141.6788517863272</v>
      </c>
      <c r="T8" s="345">
        <v>145.68709640802035</v>
      </c>
      <c r="U8" s="344">
        <v>858.13854259610218</v>
      </c>
      <c r="V8" s="344">
        <v>561.86921528886569</v>
      </c>
      <c r="W8" s="345">
        <v>1013.7253516395651</v>
      </c>
      <c r="X8" s="345">
        <v>519.98146717759141</v>
      </c>
      <c r="Y8" s="344">
        <v>1311.7924613772207</v>
      </c>
      <c r="Z8" s="344">
        <v>1593.1457295412645</v>
      </c>
      <c r="AA8" s="345">
        <v>1550.2758944529396</v>
      </c>
      <c r="AB8" s="345">
        <v>1518.3391277539517</v>
      </c>
      <c r="AC8" s="344">
        <v>417.97419016714434</v>
      </c>
      <c r="AD8" s="344">
        <v>-711.79606637081838</v>
      </c>
      <c r="AE8" s="345">
        <v>844.05057852050811</v>
      </c>
      <c r="AF8" s="345">
        <v>188.34940148305452</v>
      </c>
      <c r="AG8" s="344">
        <v>-311.26302124450336</v>
      </c>
      <c r="AH8" s="344">
        <v>-644.74262449919206</v>
      </c>
      <c r="AI8" s="345">
        <v>1360.0751934918712</v>
      </c>
      <c r="AJ8" s="345">
        <v>996.10040255132924</v>
      </c>
      <c r="AK8" s="344">
        <v>3.0682744439297949</v>
      </c>
      <c r="AL8" s="344">
        <v>-545.27907715100537</v>
      </c>
      <c r="AM8" s="345">
        <v>2171.2019749984956</v>
      </c>
      <c r="AN8" s="345">
        <v>1104.7466410706002</v>
      </c>
      <c r="AO8" s="344">
        <v>-493.60205545747613</v>
      </c>
      <c r="AP8" s="344">
        <v>-1154.7022679648753</v>
      </c>
      <c r="AQ8" s="345">
        <v>-200.47443286703896</v>
      </c>
      <c r="AR8" s="345">
        <v>-813.73602491338227</v>
      </c>
      <c r="AS8" s="344">
        <v>2203.7659924445015</v>
      </c>
      <c r="AT8" s="344">
        <v>2150.8105983663031</v>
      </c>
      <c r="AU8" s="345">
        <v>702.91260102181604</v>
      </c>
      <c r="AV8" s="345">
        <v>-151.61457155894792</v>
      </c>
      <c r="AW8" s="346">
        <v>-459.936464938673</v>
      </c>
      <c r="AX8" s="346">
        <v>-1134.8813977291989</v>
      </c>
      <c r="AY8" s="345">
        <v>2569.1433628122268</v>
      </c>
      <c r="AZ8" s="345">
        <v>2170.0205598917069</v>
      </c>
      <c r="BA8" s="344">
        <v>269.35279620006662</v>
      </c>
      <c r="BB8" s="344">
        <v>869.1125837677979</v>
      </c>
      <c r="BC8" s="345">
        <v>2682.163314068719</v>
      </c>
      <c r="BD8" s="345">
        <v>1033.6338868122245</v>
      </c>
      <c r="BE8" s="344">
        <v>28.2210248226869</v>
      </c>
      <c r="BF8" s="344">
        <v>-784.35475385795451</v>
      </c>
      <c r="BG8" s="345">
        <v>2705.9426372490489</v>
      </c>
      <c r="BH8" s="345">
        <v>1832.7215606653651</v>
      </c>
      <c r="BI8" s="344">
        <v>-553.57642537221102</v>
      </c>
      <c r="BJ8" s="344">
        <v>-1568.4983599129218</v>
      </c>
      <c r="BK8" s="345">
        <v>635.12649166115057</v>
      </c>
      <c r="BL8" s="345">
        <v>-41.8390294169713</v>
      </c>
      <c r="BM8" s="344">
        <v>1138.038140066609</v>
      </c>
      <c r="BN8" s="344">
        <v>901.58488279026187</v>
      </c>
      <c r="BO8" s="345">
        <v>1267.06957268057</v>
      </c>
      <c r="BP8" s="345">
        <v>917.69141304341565</v>
      </c>
      <c r="BQ8" s="344">
        <v>35.840976411676081</v>
      </c>
      <c r="BR8" s="344">
        <v>-1145.1388564554163</v>
      </c>
      <c r="BS8" s="345">
        <v>533.4382486521522</v>
      </c>
      <c r="BT8" s="345">
        <v>-159.66663758800115</v>
      </c>
      <c r="BU8" s="344">
        <v>429.56429247039387</v>
      </c>
      <c r="BV8" s="344">
        <v>-268.44359642721759</v>
      </c>
      <c r="BW8" s="345">
        <v>-1366.0558209836211</v>
      </c>
      <c r="BX8" s="345">
        <v>-1414.0717561740598</v>
      </c>
      <c r="BY8" s="344">
        <v>-253.19610893054579</v>
      </c>
      <c r="BZ8" s="344">
        <v>435.25426478304229</v>
      </c>
      <c r="CA8" s="345">
        <v>-528.74143023311603</v>
      </c>
      <c r="CB8" s="345">
        <v>-865.51924638338346</v>
      </c>
      <c r="CC8" s="344">
        <v>-1475.4351880070399</v>
      </c>
      <c r="CD8" s="344">
        <v>-1884.4261780415366</v>
      </c>
      <c r="CE8" s="345">
        <v>1039.0043077145513</v>
      </c>
      <c r="CF8" s="345">
        <v>349.40637681776843</v>
      </c>
      <c r="CG8" s="344">
        <v>1398.7918112099444</v>
      </c>
      <c r="CH8" s="344">
        <v>-610.17544312874929</v>
      </c>
      <c r="CI8" s="345">
        <v>1135.865652205709</v>
      </c>
      <c r="CJ8" s="345">
        <v>32.484711471772869</v>
      </c>
      <c r="CK8" s="344">
        <v>-0.60211294914981295</v>
      </c>
      <c r="CL8" s="344">
        <v>-685.37881394632439</v>
      </c>
      <c r="CM8" s="345">
        <v>902.47845600776861</v>
      </c>
      <c r="CN8" s="345">
        <v>253.05844896146917</v>
      </c>
      <c r="CO8" s="344">
        <v>837.59525238906667</v>
      </c>
      <c r="CP8" s="344">
        <v>547.9969466641387</v>
      </c>
      <c r="CQ8" s="345">
        <v>-87.291418931885573</v>
      </c>
      <c r="CR8" s="345">
        <v>-32.000207569675766</v>
      </c>
      <c r="CS8" s="344">
        <v>389.27621030433653</v>
      </c>
      <c r="CT8" s="344">
        <v>941.20579381560685</v>
      </c>
      <c r="CU8" s="345">
        <v>912.15303937128078</v>
      </c>
      <c r="CV8" s="345">
        <v>1163.8532982156603</v>
      </c>
      <c r="CW8" s="344">
        <v>382.62890926978412</v>
      </c>
      <c r="CX8" s="344">
        <v>782.806688934666</v>
      </c>
      <c r="CY8" s="345">
        <v>488.14805125885425</v>
      </c>
      <c r="CZ8" s="345">
        <v>767.14957962697997</v>
      </c>
      <c r="DA8" s="344">
        <v>-83.240439852568954</v>
      </c>
      <c r="DB8" s="344">
        <v>636.46083753608627</v>
      </c>
      <c r="DC8" s="345">
        <v>551.53871462186271</v>
      </c>
      <c r="DD8" s="345">
        <v>881.59525575556233</v>
      </c>
      <c r="DE8" s="344">
        <v>143.08249938241764</v>
      </c>
      <c r="DF8" s="344">
        <v>511.42229057475413</v>
      </c>
      <c r="DG8" s="345">
        <v>393.29521513504346</v>
      </c>
      <c r="DH8" s="345">
        <v>-59.80791024983256</v>
      </c>
      <c r="DI8" s="344">
        <v>465.90784127851555</v>
      </c>
      <c r="DJ8" s="344">
        <v>1223.5111874287161</v>
      </c>
      <c r="DK8" s="345">
        <v>-981.03677591386509</v>
      </c>
      <c r="DL8" s="345">
        <v>-513.41905422320315</v>
      </c>
      <c r="DM8" s="344">
        <v>-23.21217789968648</v>
      </c>
      <c r="DN8" s="344">
        <v>4.8687967276371467</v>
      </c>
      <c r="DO8" s="345">
        <v>1065.0238695745916</v>
      </c>
      <c r="DP8" s="345">
        <v>715.916908145815</v>
      </c>
    </row>
    <row r="9" spans="1:176" ht="15" customHeight="1" x14ac:dyDescent="0.2">
      <c r="D9" s="338" t="s">
        <v>578</v>
      </c>
      <c r="I9" s="344">
        <v>250.09264780760191</v>
      </c>
      <c r="J9" s="344">
        <v>15.981412125653083</v>
      </c>
      <c r="K9" s="345">
        <v>207.33464780760187</v>
      </c>
      <c r="L9" s="345">
        <v>15.981412125653083</v>
      </c>
      <c r="M9" s="344">
        <v>200.9966478076019</v>
      </c>
      <c r="N9" s="344">
        <v>15.981412125653083</v>
      </c>
      <c r="O9" s="345">
        <v>282.69264780760193</v>
      </c>
      <c r="P9" s="345">
        <v>15.981412125653083</v>
      </c>
      <c r="Q9" s="344">
        <v>170.49921993378626</v>
      </c>
      <c r="R9" s="344">
        <v>16.268332443460185</v>
      </c>
      <c r="S9" s="345">
        <v>181.86289926521624</v>
      </c>
      <c r="T9" s="345">
        <v>16.268332443460185</v>
      </c>
      <c r="U9" s="344">
        <v>193.96418260107899</v>
      </c>
      <c r="V9" s="344">
        <v>16.268332443460185</v>
      </c>
      <c r="W9" s="345">
        <v>386.22501578279957</v>
      </c>
      <c r="X9" s="345">
        <v>16.268332443460185</v>
      </c>
      <c r="Y9" s="344">
        <v>170.98799202663804</v>
      </c>
      <c r="Z9" s="344">
        <v>16.85999911012685</v>
      </c>
      <c r="AA9" s="345">
        <v>78.316621320195424</v>
      </c>
      <c r="AB9" s="345">
        <v>17.068332443460182</v>
      </c>
      <c r="AC9" s="344">
        <v>256.26991687323948</v>
      </c>
      <c r="AD9" s="344">
        <v>16.626665776793516</v>
      </c>
      <c r="AE9" s="345">
        <v>388.05445006699324</v>
      </c>
      <c r="AF9" s="345">
        <v>16.268332443460185</v>
      </c>
      <c r="AG9" s="344">
        <v>112.98834556849972</v>
      </c>
      <c r="AH9" s="344">
        <v>13.24683111363953</v>
      </c>
      <c r="AI9" s="345">
        <v>154.81541794488396</v>
      </c>
      <c r="AJ9" s="345">
        <v>13.24683111363953</v>
      </c>
      <c r="AK9" s="344">
        <v>93.573467510601688</v>
      </c>
      <c r="AL9" s="344">
        <v>13.24683111363953</v>
      </c>
      <c r="AM9" s="345">
        <v>318.2784132208032</v>
      </c>
      <c r="AN9" s="345">
        <v>13.24683111363953</v>
      </c>
      <c r="AO9" s="344">
        <v>81.854975805791696</v>
      </c>
      <c r="AP9" s="344">
        <v>59.202034200175746</v>
      </c>
      <c r="AQ9" s="345">
        <v>91.577435374214033</v>
      </c>
      <c r="AR9" s="345">
        <v>59.202034200175746</v>
      </c>
      <c r="AS9" s="344">
        <v>88.250837106871643</v>
      </c>
      <c r="AT9" s="344">
        <v>59.202034200175746</v>
      </c>
      <c r="AU9" s="345">
        <v>635.36612759665638</v>
      </c>
      <c r="AV9" s="345">
        <v>59.202034200175746</v>
      </c>
      <c r="AW9" s="346">
        <v>122.26422734526616</v>
      </c>
      <c r="AX9" s="346">
        <v>17.947843921718299</v>
      </c>
      <c r="AY9" s="345">
        <v>242.6547304561193</v>
      </c>
      <c r="AZ9" s="345">
        <v>17.947843921718299</v>
      </c>
      <c r="BA9" s="344">
        <v>46.468656342793167</v>
      </c>
      <c r="BB9" s="344">
        <v>17.947843921718299</v>
      </c>
      <c r="BC9" s="345">
        <v>961.3774289898372</v>
      </c>
      <c r="BD9" s="345">
        <v>17.947843921718299</v>
      </c>
      <c r="BE9" s="344">
        <v>230.97909202176862</v>
      </c>
      <c r="BF9" s="344">
        <v>16.964142634177268</v>
      </c>
      <c r="BG9" s="345">
        <v>908.70191297875658</v>
      </c>
      <c r="BH9" s="345">
        <v>16.964142634177268</v>
      </c>
      <c r="BI9" s="344">
        <v>118.63790484517919</v>
      </c>
      <c r="BJ9" s="344">
        <v>16.964142634177268</v>
      </c>
      <c r="BK9" s="345">
        <v>355.72509938313044</v>
      </c>
      <c r="BL9" s="345">
        <v>16.964142634177268</v>
      </c>
      <c r="BM9" s="344">
        <v>159.36958712589694</v>
      </c>
      <c r="BN9" s="344">
        <v>19.340695937097248</v>
      </c>
      <c r="BO9" s="345">
        <v>216.06969495578238</v>
      </c>
      <c r="BP9" s="345">
        <v>19.340695937097248</v>
      </c>
      <c r="BQ9" s="344">
        <v>133.59486465840979</v>
      </c>
      <c r="BR9" s="344">
        <v>19.340695937097248</v>
      </c>
      <c r="BS9" s="345">
        <v>234.43208472794223</v>
      </c>
      <c r="BT9" s="345">
        <v>19.340695937097248</v>
      </c>
      <c r="BU9" s="344">
        <v>118.06760991875652</v>
      </c>
      <c r="BV9" s="344">
        <v>3.6356959370972461</v>
      </c>
      <c r="BW9" s="345">
        <v>124.53299333582137</v>
      </c>
      <c r="BX9" s="345">
        <v>3.6356959370972461</v>
      </c>
      <c r="BY9" s="344">
        <v>102.52164593188904</v>
      </c>
      <c r="BZ9" s="344">
        <v>3.6356959370972461</v>
      </c>
      <c r="CA9" s="345">
        <v>88.953419279952954</v>
      </c>
      <c r="CB9" s="345">
        <v>3.6356959370972461</v>
      </c>
      <c r="CC9" s="344">
        <v>130.31647489887723</v>
      </c>
      <c r="CD9" s="344">
        <v>4.3601788210680619</v>
      </c>
      <c r="CE9" s="345">
        <v>132.12607545389693</v>
      </c>
      <c r="CF9" s="345">
        <v>4.3601788210680619</v>
      </c>
      <c r="CG9" s="344">
        <v>159.53328052738925</v>
      </c>
      <c r="CH9" s="344">
        <v>4.3601788210680619</v>
      </c>
      <c r="CI9" s="345">
        <v>170.31413902280735</v>
      </c>
      <c r="CJ9" s="345">
        <v>4.3601788210680619</v>
      </c>
      <c r="CK9" s="344">
        <v>85.827287791011798</v>
      </c>
      <c r="CL9" s="344">
        <v>3.7833983127662765</v>
      </c>
      <c r="CM9" s="345">
        <v>152.73514327004992</v>
      </c>
      <c r="CN9" s="345">
        <v>3.7833983127662765</v>
      </c>
      <c r="CO9" s="344">
        <v>341.7342665810051</v>
      </c>
      <c r="CP9" s="344">
        <v>3.7833983127662765</v>
      </c>
      <c r="CQ9" s="345">
        <v>303.85379378814093</v>
      </c>
      <c r="CR9" s="345">
        <v>3.7833983127662765</v>
      </c>
      <c r="CS9" s="344">
        <v>176.17416821443405</v>
      </c>
      <c r="CT9" s="344">
        <v>5.8763210874999992</v>
      </c>
      <c r="CU9" s="345">
        <v>120.59965117999016</v>
      </c>
      <c r="CV9" s="345">
        <v>12.515638377499998</v>
      </c>
      <c r="CW9" s="344">
        <v>164.95796753422178</v>
      </c>
      <c r="CX9" s="344">
        <v>10.232292987499997</v>
      </c>
      <c r="CY9" s="345">
        <v>251.28357766999378</v>
      </c>
      <c r="CZ9" s="345">
        <v>22.867256337499999</v>
      </c>
      <c r="DA9" s="344">
        <v>131.14628926875542</v>
      </c>
      <c r="DB9" s="344">
        <v>23.864401608063059</v>
      </c>
      <c r="DC9" s="345">
        <v>359.9658888148133</v>
      </c>
      <c r="DD9" s="345">
        <v>35.582949091450686</v>
      </c>
      <c r="DE9" s="344">
        <v>50.306427249084322</v>
      </c>
      <c r="DF9" s="344">
        <v>31.698910299498966</v>
      </c>
      <c r="DG9" s="345">
        <v>217.82174688485318</v>
      </c>
      <c r="DH9" s="345">
        <v>19.104246437856759</v>
      </c>
      <c r="DI9" s="344">
        <v>131.6490850764483</v>
      </c>
      <c r="DJ9" s="344">
        <v>17.149641484292573</v>
      </c>
      <c r="DK9" s="345">
        <v>173.7431100962925</v>
      </c>
      <c r="DL9" s="345">
        <v>24.28226183720696</v>
      </c>
      <c r="DM9" s="344">
        <v>242.11060539503404</v>
      </c>
      <c r="DN9" s="344">
        <v>20.818805961231885</v>
      </c>
      <c r="DO9" s="345">
        <v>496.43331775050359</v>
      </c>
      <c r="DP9" s="345">
        <v>35.959424482017681</v>
      </c>
    </row>
    <row r="10" spans="1:176" ht="15" customHeight="1" x14ac:dyDescent="0.2">
      <c r="E10" s="347" t="s">
        <v>579</v>
      </c>
      <c r="I10" s="349">
        <v>75.392638039053409</v>
      </c>
      <c r="J10" s="349">
        <v>15.981412125653083</v>
      </c>
      <c r="K10" s="350">
        <v>54.707638039053407</v>
      </c>
      <c r="L10" s="350">
        <v>15.981412125653083</v>
      </c>
      <c r="M10" s="349">
        <v>90.836638039053412</v>
      </c>
      <c r="N10" s="349">
        <v>15.981412125653083</v>
      </c>
      <c r="O10" s="350">
        <v>139.15963803905345</v>
      </c>
      <c r="P10" s="350">
        <v>15.981412125653083</v>
      </c>
      <c r="Q10" s="349">
        <v>67.021590784447696</v>
      </c>
      <c r="R10" s="349">
        <v>16.268332443460185</v>
      </c>
      <c r="S10" s="350">
        <v>52.578643581250375</v>
      </c>
      <c r="T10" s="350">
        <v>16.268332443460185</v>
      </c>
      <c r="U10" s="349">
        <v>74.354723196858458</v>
      </c>
      <c r="V10" s="349">
        <v>16.268332443460185</v>
      </c>
      <c r="W10" s="350">
        <v>216.44761010261152</v>
      </c>
      <c r="X10" s="350">
        <v>16.268332443460185</v>
      </c>
      <c r="Y10" s="349">
        <v>89.107992026638058</v>
      </c>
      <c r="Z10" s="349">
        <v>16.85999911012685</v>
      </c>
      <c r="AA10" s="350">
        <v>11.236621320195418</v>
      </c>
      <c r="AB10" s="350">
        <v>17.068332443460182</v>
      </c>
      <c r="AC10" s="349">
        <v>113.72291687323943</v>
      </c>
      <c r="AD10" s="349">
        <v>16.626665776793516</v>
      </c>
      <c r="AE10" s="350">
        <v>254.53105107219693</v>
      </c>
      <c r="AF10" s="350">
        <v>16.268332443460185</v>
      </c>
      <c r="AG10" s="349">
        <v>83.935988596413964</v>
      </c>
      <c r="AH10" s="349">
        <v>13.24683111363953</v>
      </c>
      <c r="AI10" s="350">
        <v>97.094851300433362</v>
      </c>
      <c r="AJ10" s="350">
        <v>13.24683111363953</v>
      </c>
      <c r="AK10" s="349">
        <v>63.69951751060168</v>
      </c>
      <c r="AL10" s="349">
        <v>13.24683111363953</v>
      </c>
      <c r="AM10" s="350">
        <v>194.1779777226283</v>
      </c>
      <c r="AN10" s="350">
        <v>13.24683111363953</v>
      </c>
      <c r="AO10" s="349">
        <v>59.557287088424836</v>
      </c>
      <c r="AP10" s="349">
        <v>58.663801305705675</v>
      </c>
      <c r="AQ10" s="350">
        <v>61.566163112145063</v>
      </c>
      <c r="AR10" s="350">
        <v>58.663801305705675</v>
      </c>
      <c r="AS10" s="349">
        <v>53.961038844802687</v>
      </c>
      <c r="AT10" s="349">
        <v>58.663801305705675</v>
      </c>
      <c r="AU10" s="350">
        <v>534.55405719136706</v>
      </c>
      <c r="AV10" s="350">
        <v>58.663801305705675</v>
      </c>
      <c r="AW10" s="351">
        <v>51.743579564827535</v>
      </c>
      <c r="AX10" s="351">
        <v>16.947843921718299</v>
      </c>
      <c r="AY10" s="350">
        <v>47.277703585639308</v>
      </c>
      <c r="AZ10" s="350">
        <v>16.947843921718299</v>
      </c>
      <c r="BA10" s="349">
        <v>-7.694174460061916</v>
      </c>
      <c r="BB10" s="349">
        <v>16.947843921718299</v>
      </c>
      <c r="BC10" s="350">
        <v>440.978083974897</v>
      </c>
      <c r="BD10" s="350">
        <v>16.947843921718299</v>
      </c>
      <c r="BE10" s="349">
        <v>10.689744021768803</v>
      </c>
      <c r="BF10" s="349">
        <v>14.539142634177267</v>
      </c>
      <c r="BG10" s="350">
        <v>57.397852978756504</v>
      </c>
      <c r="BH10" s="350">
        <v>14.539142634177267</v>
      </c>
      <c r="BI10" s="349">
        <v>52.293798845179268</v>
      </c>
      <c r="BJ10" s="349">
        <v>14.539142634177267</v>
      </c>
      <c r="BK10" s="350">
        <v>342.37371343066366</v>
      </c>
      <c r="BL10" s="350">
        <v>14.539142634177267</v>
      </c>
      <c r="BM10" s="349">
        <v>65.72333632458421</v>
      </c>
      <c r="BN10" s="349">
        <v>16.196921309597247</v>
      </c>
      <c r="BO10" s="350">
        <v>102.76866827584482</v>
      </c>
      <c r="BP10" s="350">
        <v>16.196921309597247</v>
      </c>
      <c r="BQ10" s="349">
        <v>74.980327619660372</v>
      </c>
      <c r="BR10" s="349">
        <v>16.196921309597247</v>
      </c>
      <c r="BS10" s="350">
        <v>126.04141958485488</v>
      </c>
      <c r="BT10" s="350">
        <v>16.196921309597247</v>
      </c>
      <c r="BU10" s="349">
        <v>47.823609918756517</v>
      </c>
      <c r="BV10" s="349">
        <v>2.5844213095972459</v>
      </c>
      <c r="BW10" s="350">
        <v>59.390993335821378</v>
      </c>
      <c r="BX10" s="350">
        <v>2.5844213095972459</v>
      </c>
      <c r="BY10" s="349">
        <v>57.415645931889046</v>
      </c>
      <c r="BZ10" s="349">
        <v>2.5844213095972459</v>
      </c>
      <c r="CA10" s="350">
        <v>46.703419279952946</v>
      </c>
      <c r="CB10" s="350">
        <v>2.5844213095972459</v>
      </c>
      <c r="CC10" s="349">
        <v>66.661474898877216</v>
      </c>
      <c r="CD10" s="349">
        <v>3.1589041935680617</v>
      </c>
      <c r="CE10" s="350">
        <v>82.916075453896951</v>
      </c>
      <c r="CF10" s="350">
        <v>3.1589041935680617</v>
      </c>
      <c r="CG10" s="349">
        <v>61.003280527389236</v>
      </c>
      <c r="CH10" s="349">
        <v>3.1589041935680617</v>
      </c>
      <c r="CI10" s="350">
        <v>101.16113902280735</v>
      </c>
      <c r="CJ10" s="350">
        <v>3.1589041935680617</v>
      </c>
      <c r="CK10" s="349">
        <v>-61.805712208988218</v>
      </c>
      <c r="CL10" s="349">
        <v>2.6321236852662766</v>
      </c>
      <c r="CM10" s="350">
        <v>15.285143270049904</v>
      </c>
      <c r="CN10" s="350">
        <v>2.6321236852662766</v>
      </c>
      <c r="CO10" s="349">
        <v>158.25949689977767</v>
      </c>
      <c r="CP10" s="349">
        <v>2.6321236852662766</v>
      </c>
      <c r="CQ10" s="350">
        <v>162.7701646800229</v>
      </c>
      <c r="CR10" s="350">
        <v>2.6321236852662766</v>
      </c>
      <c r="CS10" s="349">
        <v>96.572168214434043</v>
      </c>
      <c r="CT10" s="349">
        <v>4.7250464599999997</v>
      </c>
      <c r="CU10" s="350">
        <v>57.471651179990168</v>
      </c>
      <c r="CV10" s="350">
        <v>11.364363749999999</v>
      </c>
      <c r="CW10" s="349">
        <v>97.953967534221789</v>
      </c>
      <c r="CX10" s="349">
        <v>9.0810183599999981</v>
      </c>
      <c r="CY10" s="350">
        <v>244.70481471499369</v>
      </c>
      <c r="CZ10" s="350">
        <v>21.715981709999998</v>
      </c>
      <c r="DA10" s="349">
        <v>74.828789268755401</v>
      </c>
      <c r="DB10" s="349">
        <v>22.813126980563059</v>
      </c>
      <c r="DC10" s="350">
        <v>301.77268881481331</v>
      </c>
      <c r="DD10" s="350">
        <v>34.531674463950687</v>
      </c>
      <c r="DE10" s="349">
        <v>40.571827249084322</v>
      </c>
      <c r="DF10" s="349">
        <v>30.647635671998966</v>
      </c>
      <c r="DG10" s="350">
        <v>79.840146884853169</v>
      </c>
      <c r="DH10" s="350">
        <v>18.052971810356759</v>
      </c>
      <c r="DI10" s="349">
        <v>100.24981250376837</v>
      </c>
      <c r="DJ10" s="349">
        <v>16.098366856792573</v>
      </c>
      <c r="DK10" s="350">
        <v>52.030010096292493</v>
      </c>
      <c r="DL10" s="350">
        <v>23.23098720970696</v>
      </c>
      <c r="DM10" s="349">
        <v>101.73920539503405</v>
      </c>
      <c r="DN10" s="349">
        <v>19.767531333731885</v>
      </c>
      <c r="DO10" s="350">
        <v>97.581317750503686</v>
      </c>
      <c r="DP10" s="350">
        <v>34.908149854517681</v>
      </c>
    </row>
    <row r="11" spans="1:176" ht="15" customHeight="1" x14ac:dyDescent="0.2">
      <c r="F11" s="347" t="s">
        <v>580</v>
      </c>
      <c r="I11" s="349">
        <v>26.417445289053415</v>
      </c>
      <c r="J11" s="349">
        <v>15.981412125653083</v>
      </c>
      <c r="K11" s="350">
        <v>25.197445289053412</v>
      </c>
      <c r="L11" s="350">
        <v>15.981412125653083</v>
      </c>
      <c r="M11" s="349">
        <v>30.098445289053416</v>
      </c>
      <c r="N11" s="349">
        <v>15.981412125653083</v>
      </c>
      <c r="O11" s="350">
        <v>29.422445289053414</v>
      </c>
      <c r="P11" s="350">
        <v>15.981412125653083</v>
      </c>
      <c r="Q11" s="349">
        <v>-4.1064092155523042</v>
      </c>
      <c r="R11" s="349">
        <v>16.268332443460185</v>
      </c>
      <c r="S11" s="350">
        <v>12.972643581250384</v>
      </c>
      <c r="T11" s="350">
        <v>16.268332443460185</v>
      </c>
      <c r="U11" s="349">
        <v>13.199723196858445</v>
      </c>
      <c r="V11" s="349">
        <v>16.268332443460185</v>
      </c>
      <c r="W11" s="350">
        <v>38.193610102611487</v>
      </c>
      <c r="X11" s="350">
        <v>16.268332443460185</v>
      </c>
      <c r="Y11" s="349">
        <v>0.49199202663805275</v>
      </c>
      <c r="Z11" s="349">
        <v>16.85999911012685</v>
      </c>
      <c r="AA11" s="350">
        <v>-42.836378679804589</v>
      </c>
      <c r="AB11" s="350">
        <v>17.068332443460182</v>
      </c>
      <c r="AC11" s="349">
        <v>49.87091687323943</v>
      </c>
      <c r="AD11" s="349">
        <v>16.626665776793516</v>
      </c>
      <c r="AE11" s="350">
        <v>80.646301967312041</v>
      </c>
      <c r="AF11" s="350">
        <v>16.268332443460185</v>
      </c>
      <c r="AG11" s="349">
        <v>18.213988596413969</v>
      </c>
      <c r="AH11" s="349">
        <v>13.24683111363953</v>
      </c>
      <c r="AI11" s="350">
        <v>44.327851300433359</v>
      </c>
      <c r="AJ11" s="350">
        <v>13.24683111363953</v>
      </c>
      <c r="AK11" s="349">
        <v>5.6815175106016795</v>
      </c>
      <c r="AL11" s="349">
        <v>13.24683111363953</v>
      </c>
      <c r="AM11" s="350">
        <v>18.713022908357374</v>
      </c>
      <c r="AN11" s="350">
        <v>13.24683111363953</v>
      </c>
      <c r="AO11" s="349">
        <v>-9.6377129115751714</v>
      </c>
      <c r="AP11" s="349">
        <v>58.663801305705675</v>
      </c>
      <c r="AQ11" s="350">
        <v>13.342163112145055</v>
      </c>
      <c r="AR11" s="350">
        <v>58.663801305705675</v>
      </c>
      <c r="AS11" s="349">
        <v>-0.34796115519731918</v>
      </c>
      <c r="AT11" s="349">
        <v>58.663801305705675</v>
      </c>
      <c r="AU11" s="350">
        <v>256.44122978787493</v>
      </c>
      <c r="AV11" s="350">
        <v>58.663801305705675</v>
      </c>
      <c r="AW11" s="351">
        <v>-13.349420435172455</v>
      </c>
      <c r="AX11" s="351">
        <v>13.700182554366231</v>
      </c>
      <c r="AY11" s="350">
        <v>7.1902018904127756</v>
      </c>
      <c r="AZ11" s="350">
        <v>13.700182554366231</v>
      </c>
      <c r="BA11" s="349">
        <v>-56.522174460061926</v>
      </c>
      <c r="BB11" s="349">
        <v>13.700182554366231</v>
      </c>
      <c r="BC11" s="350">
        <v>94.552660855736221</v>
      </c>
      <c r="BD11" s="350">
        <v>13.700182554366231</v>
      </c>
      <c r="BE11" s="349">
        <v>-52.673248027187505</v>
      </c>
      <c r="BF11" s="349">
        <v>12.065738381524165</v>
      </c>
      <c r="BG11" s="350">
        <v>18.194875877855164</v>
      </c>
      <c r="BH11" s="350">
        <v>12.065738381524165</v>
      </c>
      <c r="BI11" s="349">
        <v>13.735810597322201</v>
      </c>
      <c r="BJ11" s="349">
        <v>12.065738381524165</v>
      </c>
      <c r="BK11" s="350">
        <v>258.64621492801564</v>
      </c>
      <c r="BL11" s="350">
        <v>12.065738381524165</v>
      </c>
      <c r="BM11" s="349">
        <v>-1.6106489555759675</v>
      </c>
      <c r="BN11" s="349">
        <v>13.024421309597246</v>
      </c>
      <c r="BO11" s="350">
        <v>17.269632420448332</v>
      </c>
      <c r="BP11" s="350">
        <v>13.024421309597246</v>
      </c>
      <c r="BQ11" s="349">
        <v>27.91754162047415</v>
      </c>
      <c r="BR11" s="349">
        <v>13.024421309597246</v>
      </c>
      <c r="BS11" s="350">
        <v>65.930844164242728</v>
      </c>
      <c r="BT11" s="350">
        <v>13.024421309597246</v>
      </c>
      <c r="BU11" s="349">
        <v>-1.6779498703118456</v>
      </c>
      <c r="BV11" s="349">
        <v>1.7744213095972459</v>
      </c>
      <c r="BW11" s="350">
        <v>12.632049867924438</v>
      </c>
      <c r="BX11" s="350">
        <v>1.7744213095972459</v>
      </c>
      <c r="BY11" s="349">
        <v>-5.4323209116927951E-2</v>
      </c>
      <c r="BZ11" s="349">
        <v>1.7744213095972459</v>
      </c>
      <c r="CA11" s="350">
        <v>9.4789999999999992</v>
      </c>
      <c r="CB11" s="350">
        <v>1.7744213095972459</v>
      </c>
      <c r="CC11" s="349">
        <v>8.6762040906270279</v>
      </c>
      <c r="CD11" s="349">
        <v>2.1489041935680615</v>
      </c>
      <c r="CE11" s="350">
        <v>1.2180754538969556</v>
      </c>
      <c r="CF11" s="350">
        <v>2.1489041935680615</v>
      </c>
      <c r="CG11" s="349">
        <v>16.766280527389192</v>
      </c>
      <c r="CH11" s="349">
        <v>2.1489041935680615</v>
      </c>
      <c r="CI11" s="350">
        <v>-3.9648609771926324</v>
      </c>
      <c r="CJ11" s="350">
        <v>2.1489041935680615</v>
      </c>
      <c r="CK11" s="349">
        <v>-43.97406026301185</v>
      </c>
      <c r="CL11" s="349">
        <v>1.7721236852662767</v>
      </c>
      <c r="CM11" s="350">
        <v>30.343366035429366</v>
      </c>
      <c r="CN11" s="350">
        <v>1.7721236852662767</v>
      </c>
      <c r="CO11" s="349">
        <v>66.180695213195591</v>
      </c>
      <c r="CP11" s="349">
        <v>1.7721236852662767</v>
      </c>
      <c r="CQ11" s="350">
        <v>57.974770880309528</v>
      </c>
      <c r="CR11" s="350">
        <v>1.7721236852662767</v>
      </c>
      <c r="CS11" s="349">
        <v>47.561984532681322</v>
      </c>
      <c r="CT11" s="349">
        <v>2.9150464600000001</v>
      </c>
      <c r="CU11" s="350">
        <v>27.96479443793147</v>
      </c>
      <c r="CV11" s="350">
        <v>9.5543637499999985</v>
      </c>
      <c r="CW11" s="349">
        <v>48.050862341490109</v>
      </c>
      <c r="CX11" s="349">
        <v>7.2710183599999985</v>
      </c>
      <c r="CY11" s="350">
        <v>104.63623206122656</v>
      </c>
      <c r="CZ11" s="350">
        <v>19.905981709999999</v>
      </c>
      <c r="DA11" s="349">
        <v>40.967822734548335</v>
      </c>
      <c r="DB11" s="349">
        <v>21.71579753</v>
      </c>
      <c r="DC11" s="350">
        <v>271.96754165679431</v>
      </c>
      <c r="DD11" s="350">
        <v>32.171799379999996</v>
      </c>
      <c r="DE11" s="349">
        <v>4.7153648919223983</v>
      </c>
      <c r="DF11" s="349">
        <v>25.363274000000001</v>
      </c>
      <c r="DG11" s="350">
        <v>9.3868492325112562</v>
      </c>
      <c r="DH11" s="350">
        <v>14.507173209999998</v>
      </c>
      <c r="DI11" s="349">
        <v>45.519332152924036</v>
      </c>
      <c r="DJ11" s="349">
        <v>13.180661499999999</v>
      </c>
      <c r="DK11" s="350">
        <v>6.8042431778405854</v>
      </c>
      <c r="DL11" s="350">
        <v>17.040152909999996</v>
      </c>
      <c r="DM11" s="349">
        <v>22.628573850908076</v>
      </c>
      <c r="DN11" s="349">
        <v>14.229174559999999</v>
      </c>
      <c r="DO11" s="350">
        <v>10.50877505869801</v>
      </c>
      <c r="DP11" s="350">
        <v>33.219917969999997</v>
      </c>
    </row>
    <row r="12" spans="1:176" ht="15" customHeight="1" x14ac:dyDescent="0.2">
      <c r="A12" s="284"/>
      <c r="G12" s="347" t="s">
        <v>581</v>
      </c>
      <c r="I12" s="349">
        <v>26.417445289053415</v>
      </c>
      <c r="J12" s="349">
        <v>15.981412125653083</v>
      </c>
      <c r="K12" s="350">
        <v>25.197445289053412</v>
      </c>
      <c r="L12" s="350">
        <v>15.981412125653083</v>
      </c>
      <c r="M12" s="349">
        <v>30.098445289053416</v>
      </c>
      <c r="N12" s="349">
        <v>15.981412125653083</v>
      </c>
      <c r="O12" s="350">
        <v>29.422445289053414</v>
      </c>
      <c r="P12" s="350">
        <v>15.981412125653083</v>
      </c>
      <c r="Q12" s="349">
        <v>-4.1064092155523042</v>
      </c>
      <c r="R12" s="349">
        <v>16.268332443460185</v>
      </c>
      <c r="S12" s="350">
        <v>12.972643581250384</v>
      </c>
      <c r="T12" s="350">
        <v>16.268332443460185</v>
      </c>
      <c r="U12" s="349">
        <v>13.199723196858445</v>
      </c>
      <c r="V12" s="349">
        <v>16.268332443460185</v>
      </c>
      <c r="W12" s="350">
        <v>38.193610102611487</v>
      </c>
      <c r="X12" s="350">
        <v>16.268332443460185</v>
      </c>
      <c r="Y12" s="349">
        <v>0.49199202663805275</v>
      </c>
      <c r="Z12" s="349">
        <v>16.85999911012685</v>
      </c>
      <c r="AA12" s="350">
        <v>-42.836378679804589</v>
      </c>
      <c r="AB12" s="350">
        <v>17.068332443460182</v>
      </c>
      <c r="AC12" s="349">
        <v>49.87091687323943</v>
      </c>
      <c r="AD12" s="349">
        <v>16.626665776793516</v>
      </c>
      <c r="AE12" s="350">
        <v>80.646301967312041</v>
      </c>
      <c r="AF12" s="350">
        <v>16.268332443460185</v>
      </c>
      <c r="AG12" s="349">
        <v>18.213988596413969</v>
      </c>
      <c r="AH12" s="349">
        <v>13.24683111363953</v>
      </c>
      <c r="AI12" s="350">
        <v>44.327851300433359</v>
      </c>
      <c r="AJ12" s="350">
        <v>13.24683111363953</v>
      </c>
      <c r="AK12" s="349">
        <v>5.6815175106016795</v>
      </c>
      <c r="AL12" s="349">
        <v>13.24683111363953</v>
      </c>
      <c r="AM12" s="350">
        <v>18.713022908357374</v>
      </c>
      <c r="AN12" s="350">
        <v>13.24683111363953</v>
      </c>
      <c r="AO12" s="349">
        <v>-9.6377129115751714</v>
      </c>
      <c r="AP12" s="349">
        <v>58.663801305705675</v>
      </c>
      <c r="AQ12" s="350">
        <v>13.342163112145055</v>
      </c>
      <c r="AR12" s="350">
        <v>58.663801305705675</v>
      </c>
      <c r="AS12" s="349">
        <v>-0.34796115519731918</v>
      </c>
      <c r="AT12" s="349">
        <v>58.663801305705675</v>
      </c>
      <c r="AU12" s="350">
        <v>256.44122978787493</v>
      </c>
      <c r="AV12" s="350">
        <v>58.663801305705675</v>
      </c>
      <c r="AW12" s="351">
        <v>-13.349420435172455</v>
      </c>
      <c r="AX12" s="351">
        <v>13.700182554366231</v>
      </c>
      <c r="AY12" s="350">
        <v>7.1902018904127756</v>
      </c>
      <c r="AZ12" s="350">
        <v>13.700182554366231</v>
      </c>
      <c r="BA12" s="349">
        <v>-56.522174460061926</v>
      </c>
      <c r="BB12" s="349">
        <v>13.700182554366231</v>
      </c>
      <c r="BC12" s="350">
        <v>94.552660855736221</v>
      </c>
      <c r="BD12" s="350">
        <v>13.700182554366231</v>
      </c>
      <c r="BE12" s="349">
        <v>-52.673248027187505</v>
      </c>
      <c r="BF12" s="349">
        <v>12.065738381524165</v>
      </c>
      <c r="BG12" s="350">
        <v>18.194875877855164</v>
      </c>
      <c r="BH12" s="350">
        <v>12.065738381524165</v>
      </c>
      <c r="BI12" s="349">
        <v>13.735810597322201</v>
      </c>
      <c r="BJ12" s="349">
        <v>12.065738381524165</v>
      </c>
      <c r="BK12" s="350">
        <v>258.64621492801564</v>
      </c>
      <c r="BL12" s="350">
        <v>12.065738381524165</v>
      </c>
      <c r="BM12" s="349">
        <v>-1.6106489555759675</v>
      </c>
      <c r="BN12" s="349">
        <v>13.024421309597246</v>
      </c>
      <c r="BO12" s="350">
        <v>17.269632420448332</v>
      </c>
      <c r="BP12" s="350">
        <v>13.024421309597246</v>
      </c>
      <c r="BQ12" s="349">
        <v>27.91754162047415</v>
      </c>
      <c r="BR12" s="349">
        <v>13.024421309597246</v>
      </c>
      <c r="BS12" s="350">
        <v>65.930844164242728</v>
      </c>
      <c r="BT12" s="350">
        <v>13.024421309597246</v>
      </c>
      <c r="BU12" s="349">
        <v>-1.6779498703118456</v>
      </c>
      <c r="BV12" s="349">
        <v>1.7744213095972459</v>
      </c>
      <c r="BW12" s="350">
        <v>12.632049867924438</v>
      </c>
      <c r="BX12" s="350">
        <v>1.7744213095972459</v>
      </c>
      <c r="BY12" s="349">
        <v>-5.4323209116927951E-2</v>
      </c>
      <c r="BZ12" s="349">
        <v>1.7744213095972459</v>
      </c>
      <c r="CA12" s="350">
        <v>9.4789999999999992</v>
      </c>
      <c r="CB12" s="350">
        <v>1.7744213095972459</v>
      </c>
      <c r="CC12" s="349">
        <v>8.6762040906270279</v>
      </c>
      <c r="CD12" s="349">
        <v>2.1489041935680615</v>
      </c>
      <c r="CE12" s="350">
        <v>1.2180754538969556</v>
      </c>
      <c r="CF12" s="350">
        <v>2.1489041935680615</v>
      </c>
      <c r="CG12" s="349">
        <v>16.766280527389192</v>
      </c>
      <c r="CH12" s="349">
        <v>2.1489041935680615</v>
      </c>
      <c r="CI12" s="350">
        <v>-3.9648609771926324</v>
      </c>
      <c r="CJ12" s="350">
        <v>2.1489041935680615</v>
      </c>
      <c r="CK12" s="349">
        <v>-43.97406026301185</v>
      </c>
      <c r="CL12" s="349">
        <v>1.7721236852662767</v>
      </c>
      <c r="CM12" s="350">
        <v>30.343366035429366</v>
      </c>
      <c r="CN12" s="350">
        <v>1.7721236852662767</v>
      </c>
      <c r="CO12" s="349">
        <v>66.180695213195591</v>
      </c>
      <c r="CP12" s="349">
        <v>1.7721236852662767</v>
      </c>
      <c r="CQ12" s="350">
        <v>57.974770880309528</v>
      </c>
      <c r="CR12" s="350">
        <v>1.7721236852662767</v>
      </c>
      <c r="CS12" s="349">
        <v>47.561984532681322</v>
      </c>
      <c r="CT12" s="349">
        <v>2.9150464600000001</v>
      </c>
      <c r="CU12" s="350">
        <v>27.96479443793147</v>
      </c>
      <c r="CV12" s="350">
        <v>9.5543637499999985</v>
      </c>
      <c r="CW12" s="349">
        <v>48.050862341490109</v>
      </c>
      <c r="CX12" s="349">
        <v>7.2710183599999985</v>
      </c>
      <c r="CY12" s="350">
        <v>104.63623206122656</v>
      </c>
      <c r="CZ12" s="350">
        <v>19.905981709999999</v>
      </c>
      <c r="DA12" s="349">
        <v>40.967822734548335</v>
      </c>
      <c r="DB12" s="349">
        <v>21.71579753</v>
      </c>
      <c r="DC12" s="350">
        <v>271.96754165679431</v>
      </c>
      <c r="DD12" s="350">
        <v>32.171799379999996</v>
      </c>
      <c r="DE12" s="349">
        <v>4.7153648919223983</v>
      </c>
      <c r="DF12" s="349">
        <v>25.363274000000001</v>
      </c>
      <c r="DG12" s="350">
        <v>9.3868492325112562</v>
      </c>
      <c r="DH12" s="350">
        <v>14.507173209999998</v>
      </c>
      <c r="DI12" s="349">
        <v>45.519332152924036</v>
      </c>
      <c r="DJ12" s="349">
        <v>13.180661499999999</v>
      </c>
      <c r="DK12" s="350">
        <v>6.8042431778405854</v>
      </c>
      <c r="DL12" s="350">
        <v>17.040152909999996</v>
      </c>
      <c r="DM12" s="349">
        <v>22.628573850908076</v>
      </c>
      <c r="DN12" s="349">
        <v>14.229174559999999</v>
      </c>
      <c r="DO12" s="350">
        <v>10.50877505869801</v>
      </c>
      <c r="DP12" s="350">
        <v>33.219917969999997</v>
      </c>
    </row>
    <row r="13" spans="1:176" s="352" customFormat="1" ht="15" customHeight="1" x14ac:dyDescent="0.2">
      <c r="A13" s="284"/>
      <c r="G13" s="352" t="s">
        <v>582</v>
      </c>
      <c r="H13" s="353"/>
      <c r="I13" s="349">
        <v>1.54</v>
      </c>
      <c r="J13" s="349">
        <v>0</v>
      </c>
      <c r="K13" s="350">
        <v>0.32000000000000006</v>
      </c>
      <c r="L13" s="350">
        <v>0</v>
      </c>
      <c r="M13" s="349">
        <v>5.2210000000000001</v>
      </c>
      <c r="N13" s="349">
        <v>0</v>
      </c>
      <c r="O13" s="350">
        <v>4.544999999999999</v>
      </c>
      <c r="P13" s="350">
        <v>0</v>
      </c>
      <c r="Q13" s="349">
        <v>0.23399999999999999</v>
      </c>
      <c r="R13" s="349">
        <v>0</v>
      </c>
      <c r="S13" s="350">
        <v>2.4390000000000001</v>
      </c>
      <c r="T13" s="350">
        <v>0</v>
      </c>
      <c r="U13" s="349">
        <v>13.420000000000002</v>
      </c>
      <c r="V13" s="349">
        <v>0</v>
      </c>
      <c r="W13" s="350">
        <v>0.37699999999999889</v>
      </c>
      <c r="X13" s="350">
        <v>0</v>
      </c>
      <c r="Y13" s="349">
        <v>0.17299999999999999</v>
      </c>
      <c r="Z13" s="349">
        <v>0</v>
      </c>
      <c r="AA13" s="350">
        <v>5.3920000000000003</v>
      </c>
      <c r="AB13" s="350">
        <v>0</v>
      </c>
      <c r="AC13" s="349">
        <v>0.15</v>
      </c>
      <c r="AD13" s="349">
        <v>0</v>
      </c>
      <c r="AE13" s="350">
        <v>4.6340000000000003</v>
      </c>
      <c r="AF13" s="350">
        <v>0</v>
      </c>
      <c r="AG13" s="349">
        <v>0</v>
      </c>
      <c r="AH13" s="349">
        <v>0</v>
      </c>
      <c r="AI13" s="350">
        <v>11.077</v>
      </c>
      <c r="AJ13" s="350">
        <v>0</v>
      </c>
      <c r="AK13" s="349">
        <v>2.2559999999999998</v>
      </c>
      <c r="AL13" s="349">
        <v>0</v>
      </c>
      <c r="AM13" s="350">
        <v>22.959</v>
      </c>
      <c r="AN13" s="350">
        <v>0</v>
      </c>
      <c r="AO13" s="349">
        <v>0</v>
      </c>
      <c r="AP13" s="349">
        <v>0</v>
      </c>
      <c r="AQ13" s="350">
        <v>0</v>
      </c>
      <c r="AR13" s="350">
        <v>0</v>
      </c>
      <c r="AS13" s="349">
        <v>2.016</v>
      </c>
      <c r="AT13" s="349">
        <v>0</v>
      </c>
      <c r="AU13" s="350">
        <v>105.24899999999997</v>
      </c>
      <c r="AV13" s="350">
        <v>0</v>
      </c>
      <c r="AW13" s="351">
        <v>4.8479999999999999</v>
      </c>
      <c r="AX13" s="351">
        <v>0</v>
      </c>
      <c r="AY13" s="350">
        <v>11.933999999999999</v>
      </c>
      <c r="AZ13" s="350">
        <v>0</v>
      </c>
      <c r="BA13" s="349">
        <v>1.2609999999999999</v>
      </c>
      <c r="BB13" s="349">
        <v>0</v>
      </c>
      <c r="BC13" s="350">
        <v>19.457000000000001</v>
      </c>
      <c r="BD13" s="350">
        <v>0</v>
      </c>
      <c r="BE13" s="349">
        <v>44.550000000000011</v>
      </c>
      <c r="BF13" s="349">
        <v>0</v>
      </c>
      <c r="BG13" s="350">
        <v>18.193999999999999</v>
      </c>
      <c r="BH13" s="350">
        <v>0</v>
      </c>
      <c r="BI13" s="349">
        <v>13.629999999999992</v>
      </c>
      <c r="BJ13" s="349">
        <v>0</v>
      </c>
      <c r="BK13" s="350">
        <v>41.182300000000005</v>
      </c>
      <c r="BL13" s="350">
        <v>0</v>
      </c>
      <c r="BM13" s="349">
        <v>18.111199999999997</v>
      </c>
      <c r="BN13" s="349">
        <v>0</v>
      </c>
      <c r="BO13" s="350">
        <v>16.073800000000002</v>
      </c>
      <c r="BP13" s="350">
        <v>0</v>
      </c>
      <c r="BQ13" s="349">
        <v>37.704000000000008</v>
      </c>
      <c r="BR13" s="349">
        <v>0</v>
      </c>
      <c r="BS13" s="350">
        <v>65.953999999999994</v>
      </c>
      <c r="BT13" s="350">
        <v>0</v>
      </c>
      <c r="BU13" s="349">
        <v>10.010999999999997</v>
      </c>
      <c r="BV13" s="349">
        <v>0</v>
      </c>
      <c r="BW13" s="350">
        <v>9.0820000000000007</v>
      </c>
      <c r="BX13" s="350">
        <v>0</v>
      </c>
      <c r="BY13" s="349">
        <v>0.28300000000000081</v>
      </c>
      <c r="BZ13" s="349">
        <v>0</v>
      </c>
      <c r="CA13" s="350">
        <v>9.4789999999999992</v>
      </c>
      <c r="CB13" s="350">
        <v>0</v>
      </c>
      <c r="CC13" s="349">
        <v>2.101</v>
      </c>
      <c r="CD13" s="349">
        <v>0</v>
      </c>
      <c r="CE13" s="350">
        <v>0</v>
      </c>
      <c r="CF13" s="350">
        <v>0</v>
      </c>
      <c r="CG13" s="349">
        <v>20.517999999999994</v>
      </c>
      <c r="CH13" s="349">
        <v>0</v>
      </c>
      <c r="CI13" s="350">
        <v>6.6530000000000014</v>
      </c>
      <c r="CJ13" s="350">
        <v>0</v>
      </c>
      <c r="CK13" s="349">
        <v>2.8000000000000003</v>
      </c>
      <c r="CL13" s="349">
        <v>0</v>
      </c>
      <c r="CM13" s="350">
        <v>30.071000000000002</v>
      </c>
      <c r="CN13" s="350">
        <v>0</v>
      </c>
      <c r="CO13" s="349">
        <v>19.152999999999999</v>
      </c>
      <c r="CP13" s="349">
        <v>0</v>
      </c>
      <c r="CQ13" s="350">
        <v>19.536999999999995</v>
      </c>
      <c r="CR13" s="350">
        <v>0</v>
      </c>
      <c r="CS13" s="349">
        <v>50.323000000000015</v>
      </c>
      <c r="CT13" s="349">
        <v>0</v>
      </c>
      <c r="CU13" s="350">
        <v>27.567</v>
      </c>
      <c r="CV13" s="350">
        <v>0</v>
      </c>
      <c r="CW13" s="349">
        <v>44.169999999999987</v>
      </c>
      <c r="CX13" s="349">
        <v>0</v>
      </c>
      <c r="CY13" s="350">
        <v>23.707000000000015</v>
      </c>
      <c r="CZ13" s="350">
        <v>0</v>
      </c>
      <c r="DA13" s="349">
        <v>4.7169999999999996</v>
      </c>
      <c r="DB13" s="349">
        <v>0</v>
      </c>
      <c r="DC13" s="350">
        <v>61.686999999999998</v>
      </c>
      <c r="DD13" s="350">
        <v>0</v>
      </c>
      <c r="DE13" s="349">
        <v>9.6840000000000011</v>
      </c>
      <c r="DF13" s="349">
        <v>0</v>
      </c>
      <c r="DG13" s="350">
        <v>9.3130000000000095</v>
      </c>
      <c r="DH13" s="350">
        <v>0</v>
      </c>
      <c r="DI13" s="349">
        <v>1.0569999999999999</v>
      </c>
      <c r="DJ13" s="349">
        <v>0</v>
      </c>
      <c r="DK13" s="350">
        <v>6.5138999999999996</v>
      </c>
      <c r="DL13" s="350">
        <v>0</v>
      </c>
      <c r="DM13" s="349">
        <v>5.6831000000000014</v>
      </c>
      <c r="DN13" s="349">
        <v>0</v>
      </c>
      <c r="DO13" s="350">
        <v>9.7436000000000007</v>
      </c>
      <c r="DP13" s="350">
        <v>0</v>
      </c>
    </row>
    <row r="14" spans="1:176" s="352" customFormat="1" ht="15" customHeight="1" x14ac:dyDescent="0.2">
      <c r="A14" s="284"/>
      <c r="G14" s="352" t="s">
        <v>583</v>
      </c>
      <c r="H14" s="353"/>
      <c r="I14" s="349">
        <v>8.2047570390534137</v>
      </c>
      <c r="J14" s="349">
        <v>0</v>
      </c>
      <c r="K14" s="350">
        <v>8.2047570390534137</v>
      </c>
      <c r="L14" s="350">
        <v>0</v>
      </c>
      <c r="M14" s="349">
        <v>8.2047570390534137</v>
      </c>
      <c r="N14" s="349">
        <v>0</v>
      </c>
      <c r="O14" s="350">
        <v>8.2047570390534137</v>
      </c>
      <c r="P14" s="350">
        <v>0</v>
      </c>
      <c r="Q14" s="349">
        <v>-4.3404092155523042</v>
      </c>
      <c r="R14" s="349">
        <v>0</v>
      </c>
      <c r="S14" s="350">
        <v>10.533643581250384</v>
      </c>
      <c r="T14" s="350">
        <v>0</v>
      </c>
      <c r="U14" s="349">
        <v>0.29742119685844165</v>
      </c>
      <c r="V14" s="349">
        <v>0</v>
      </c>
      <c r="W14" s="350">
        <v>37.7568168643147</v>
      </c>
      <c r="X14" s="350">
        <v>0</v>
      </c>
      <c r="Y14" s="349">
        <v>0.31899202663805276</v>
      </c>
      <c r="Z14" s="349">
        <v>0</v>
      </c>
      <c r="AA14" s="350">
        <v>-48.228378679804592</v>
      </c>
      <c r="AB14" s="350">
        <v>0</v>
      </c>
      <c r="AC14" s="349">
        <v>49.720916873239432</v>
      </c>
      <c r="AD14" s="349">
        <v>0</v>
      </c>
      <c r="AE14" s="350">
        <v>-17.253217731569574</v>
      </c>
      <c r="AF14" s="350">
        <v>0</v>
      </c>
      <c r="AG14" s="349">
        <v>18.213988596413969</v>
      </c>
      <c r="AH14" s="349">
        <v>0</v>
      </c>
      <c r="AI14" s="350">
        <v>33.250851300433361</v>
      </c>
      <c r="AJ14" s="350">
        <v>0</v>
      </c>
      <c r="AK14" s="349">
        <v>3.4255175106016793</v>
      </c>
      <c r="AL14" s="349">
        <v>0</v>
      </c>
      <c r="AM14" s="350">
        <v>9.2480916882890778</v>
      </c>
      <c r="AN14" s="350">
        <v>0</v>
      </c>
      <c r="AO14" s="349">
        <v>-9.6377129115751714</v>
      </c>
      <c r="AP14" s="349">
        <v>0</v>
      </c>
      <c r="AQ14" s="350">
        <v>13.342163112145055</v>
      </c>
      <c r="AR14" s="350">
        <v>0</v>
      </c>
      <c r="AS14" s="349">
        <v>-2.3639611551973192</v>
      </c>
      <c r="AT14" s="349">
        <v>0</v>
      </c>
      <c r="AU14" s="350">
        <v>-6.625614212125063</v>
      </c>
      <c r="AV14" s="350">
        <v>0</v>
      </c>
      <c r="AW14" s="351">
        <v>-18.197420435172454</v>
      </c>
      <c r="AX14" s="351">
        <v>0</v>
      </c>
      <c r="AY14" s="350">
        <v>-4.7437981095872237</v>
      </c>
      <c r="AZ14" s="350">
        <v>0</v>
      </c>
      <c r="BA14" s="349">
        <v>-57.783174460061929</v>
      </c>
      <c r="BB14" s="349">
        <v>0</v>
      </c>
      <c r="BC14" s="350">
        <v>0.66919807735235826</v>
      </c>
      <c r="BD14" s="350">
        <v>0</v>
      </c>
      <c r="BE14" s="349">
        <v>-97.224140397245606</v>
      </c>
      <c r="BF14" s="349">
        <v>0</v>
      </c>
      <c r="BG14" s="350">
        <v>0</v>
      </c>
      <c r="BH14" s="350">
        <v>0</v>
      </c>
      <c r="BI14" s="349">
        <v>0.10495397786794575</v>
      </c>
      <c r="BJ14" s="349">
        <v>0</v>
      </c>
      <c r="BK14" s="350">
        <v>46.129370114421782</v>
      </c>
      <c r="BL14" s="350">
        <v>0</v>
      </c>
      <c r="BM14" s="349">
        <v>-20.261698586456689</v>
      </c>
      <c r="BN14" s="349">
        <v>0</v>
      </c>
      <c r="BO14" s="350">
        <v>0.64383622339513269</v>
      </c>
      <c r="BP14" s="350">
        <v>0</v>
      </c>
      <c r="BQ14" s="349">
        <v>-10.331545731155268</v>
      </c>
      <c r="BR14" s="349">
        <v>0</v>
      </c>
      <c r="BS14" s="350">
        <v>-0.55955898681107985</v>
      </c>
      <c r="BT14" s="350">
        <v>0</v>
      </c>
      <c r="BU14" s="349">
        <v>-11.688949870311843</v>
      </c>
      <c r="BV14" s="349">
        <v>0</v>
      </c>
      <c r="BW14" s="350">
        <v>3.5500498679244377</v>
      </c>
      <c r="BX14" s="350">
        <v>0</v>
      </c>
      <c r="BY14" s="349">
        <v>-0.33732320911692876</v>
      </c>
      <c r="BZ14" s="349">
        <v>0</v>
      </c>
      <c r="CA14" s="350">
        <v>0</v>
      </c>
      <c r="CB14" s="350">
        <v>0</v>
      </c>
      <c r="CC14" s="349">
        <v>6.5752040906270288</v>
      </c>
      <c r="CD14" s="349">
        <v>0</v>
      </c>
      <c r="CE14" s="350">
        <v>1.2180754538969556</v>
      </c>
      <c r="CF14" s="350">
        <v>0</v>
      </c>
      <c r="CG14" s="349">
        <v>-3.7517194726108007</v>
      </c>
      <c r="CH14" s="349">
        <v>0</v>
      </c>
      <c r="CI14" s="350">
        <v>-9.8067139300325277</v>
      </c>
      <c r="CJ14" s="350">
        <v>0</v>
      </c>
      <c r="CK14" s="349">
        <v>-46.774060263011847</v>
      </c>
      <c r="CL14" s="349">
        <v>0</v>
      </c>
      <c r="CM14" s="350">
        <v>0.27236603542936488</v>
      </c>
      <c r="CN14" s="350">
        <v>0</v>
      </c>
      <c r="CO14" s="349">
        <v>47.027695213195592</v>
      </c>
      <c r="CP14" s="349">
        <v>0</v>
      </c>
      <c r="CQ14" s="350">
        <v>30.149371373299822</v>
      </c>
      <c r="CR14" s="350">
        <v>0</v>
      </c>
      <c r="CS14" s="349">
        <v>-2.7610154673186891</v>
      </c>
      <c r="CT14" s="349">
        <v>0</v>
      </c>
      <c r="CU14" s="350">
        <v>0.39779443793146829</v>
      </c>
      <c r="CV14" s="350">
        <v>0</v>
      </c>
      <c r="CW14" s="349">
        <v>3.8808623414901247</v>
      </c>
      <c r="CX14" s="349">
        <v>0</v>
      </c>
      <c r="CY14" s="350">
        <v>8.594894296429187</v>
      </c>
      <c r="CZ14" s="350">
        <v>0</v>
      </c>
      <c r="DA14" s="349">
        <v>36.250822734548336</v>
      </c>
      <c r="DB14" s="349">
        <v>0</v>
      </c>
      <c r="DC14" s="350">
        <v>210.2805416567943</v>
      </c>
      <c r="DD14" s="350">
        <v>0</v>
      </c>
      <c r="DE14" s="349">
        <v>-4.9686351080776028</v>
      </c>
      <c r="DF14" s="349">
        <v>0</v>
      </c>
      <c r="DG14" s="350">
        <v>7.384923251124631E-2</v>
      </c>
      <c r="DH14" s="350">
        <v>0</v>
      </c>
      <c r="DI14" s="349">
        <v>44.462332152924034</v>
      </c>
      <c r="DJ14" s="349">
        <v>0</v>
      </c>
      <c r="DK14" s="350">
        <v>0.29034317784058616</v>
      </c>
      <c r="DL14" s="350">
        <v>0</v>
      </c>
      <c r="DM14" s="349">
        <v>16.945473850908073</v>
      </c>
      <c r="DN14" s="349">
        <v>0</v>
      </c>
      <c r="DO14" s="350">
        <v>0.76517505869800906</v>
      </c>
      <c r="DP14" s="350">
        <v>0</v>
      </c>
    </row>
    <row r="15" spans="1:176" s="352" customFormat="1" ht="15" customHeight="1" x14ac:dyDescent="0.2">
      <c r="A15" s="284"/>
      <c r="G15" s="352" t="s">
        <v>584</v>
      </c>
      <c r="H15" s="353"/>
      <c r="I15" s="349">
        <v>16.67268825</v>
      </c>
      <c r="J15" s="349">
        <v>0</v>
      </c>
      <c r="K15" s="350">
        <v>16.67268825</v>
      </c>
      <c r="L15" s="350">
        <v>0</v>
      </c>
      <c r="M15" s="349">
        <v>16.67268825</v>
      </c>
      <c r="N15" s="349">
        <v>0</v>
      </c>
      <c r="O15" s="350">
        <v>16.67268825</v>
      </c>
      <c r="P15" s="350">
        <v>0</v>
      </c>
      <c r="Q15" s="349">
        <v>0</v>
      </c>
      <c r="R15" s="349">
        <v>0</v>
      </c>
      <c r="S15" s="350">
        <v>0</v>
      </c>
      <c r="T15" s="350">
        <v>0</v>
      </c>
      <c r="U15" s="349">
        <v>-0.51769799999999999</v>
      </c>
      <c r="V15" s="349">
        <v>0</v>
      </c>
      <c r="W15" s="350">
        <v>5.9793238296790591E-2</v>
      </c>
      <c r="X15" s="350">
        <v>0</v>
      </c>
      <c r="Y15" s="349">
        <v>0</v>
      </c>
      <c r="Z15" s="349">
        <v>0</v>
      </c>
      <c r="AA15" s="350">
        <v>0</v>
      </c>
      <c r="AB15" s="350">
        <v>0</v>
      </c>
      <c r="AC15" s="349">
        <v>0</v>
      </c>
      <c r="AD15" s="349">
        <v>0</v>
      </c>
      <c r="AE15" s="350">
        <v>93.265519698881619</v>
      </c>
      <c r="AF15" s="350">
        <v>0</v>
      </c>
      <c r="AG15" s="349">
        <v>0</v>
      </c>
      <c r="AH15" s="349">
        <v>0</v>
      </c>
      <c r="AI15" s="350">
        <v>0</v>
      </c>
      <c r="AJ15" s="350">
        <v>0</v>
      </c>
      <c r="AK15" s="349">
        <v>0</v>
      </c>
      <c r="AL15" s="349">
        <v>0</v>
      </c>
      <c r="AM15" s="350">
        <v>-13.494068779931702</v>
      </c>
      <c r="AN15" s="350">
        <v>0</v>
      </c>
      <c r="AO15" s="349">
        <v>0</v>
      </c>
      <c r="AP15" s="349">
        <v>0</v>
      </c>
      <c r="AQ15" s="350">
        <v>0</v>
      </c>
      <c r="AR15" s="350">
        <v>0</v>
      </c>
      <c r="AS15" s="349">
        <v>0</v>
      </c>
      <c r="AT15" s="349">
        <v>0</v>
      </c>
      <c r="AU15" s="350">
        <v>157.81784400000001</v>
      </c>
      <c r="AV15" s="350">
        <v>0</v>
      </c>
      <c r="AW15" s="351">
        <v>0</v>
      </c>
      <c r="AX15" s="351">
        <v>0</v>
      </c>
      <c r="AY15" s="350">
        <v>0</v>
      </c>
      <c r="AZ15" s="350">
        <v>0</v>
      </c>
      <c r="BA15" s="349">
        <v>0</v>
      </c>
      <c r="BB15" s="349">
        <v>0</v>
      </c>
      <c r="BC15" s="350">
        <v>74.426462778383865</v>
      </c>
      <c r="BD15" s="350">
        <v>0</v>
      </c>
      <c r="BE15" s="349">
        <v>8.9237005808610989E-4</v>
      </c>
      <c r="BF15" s="349">
        <v>0</v>
      </c>
      <c r="BG15" s="350">
        <v>8.7587785516595297E-4</v>
      </c>
      <c r="BH15" s="350">
        <v>0</v>
      </c>
      <c r="BI15" s="349">
        <v>8.566194542648372E-4</v>
      </c>
      <c r="BJ15" s="349">
        <v>0</v>
      </c>
      <c r="BK15" s="350">
        <v>171.33454481359382</v>
      </c>
      <c r="BL15" s="350">
        <v>0</v>
      </c>
      <c r="BM15" s="349">
        <v>0.53984963088072435</v>
      </c>
      <c r="BN15" s="349">
        <v>0</v>
      </c>
      <c r="BO15" s="350">
        <v>0.55199619705319447</v>
      </c>
      <c r="BP15" s="350">
        <v>0</v>
      </c>
      <c r="BQ15" s="349">
        <v>0.54508735162940825</v>
      </c>
      <c r="BR15" s="349">
        <v>0</v>
      </c>
      <c r="BS15" s="350">
        <v>0.5364031510538142</v>
      </c>
      <c r="BT15" s="350">
        <v>0</v>
      </c>
      <c r="BU15" s="349">
        <v>0</v>
      </c>
      <c r="BV15" s="349">
        <v>0</v>
      </c>
      <c r="BW15" s="350">
        <v>0</v>
      </c>
      <c r="BX15" s="350">
        <v>0</v>
      </c>
      <c r="BY15" s="349">
        <v>0</v>
      </c>
      <c r="BZ15" s="349">
        <v>0</v>
      </c>
      <c r="CA15" s="350">
        <v>0</v>
      </c>
      <c r="CB15" s="350">
        <v>0</v>
      </c>
      <c r="CC15" s="349">
        <v>0</v>
      </c>
      <c r="CD15" s="349">
        <v>0</v>
      </c>
      <c r="CE15" s="350">
        <v>0</v>
      </c>
      <c r="CF15" s="350">
        <v>0</v>
      </c>
      <c r="CG15" s="349">
        <v>0</v>
      </c>
      <c r="CH15" s="349">
        <v>0</v>
      </c>
      <c r="CI15" s="350">
        <v>-0.81114704716010588</v>
      </c>
      <c r="CJ15" s="350">
        <v>0</v>
      </c>
      <c r="CK15" s="349">
        <v>0</v>
      </c>
      <c r="CL15" s="349">
        <v>0</v>
      </c>
      <c r="CM15" s="350">
        <v>0</v>
      </c>
      <c r="CN15" s="350">
        <v>0</v>
      </c>
      <c r="CO15" s="349">
        <v>0</v>
      </c>
      <c r="CP15" s="349">
        <v>0</v>
      </c>
      <c r="CQ15" s="350">
        <v>8.2883995070097054</v>
      </c>
      <c r="CR15" s="350">
        <v>0</v>
      </c>
      <c r="CS15" s="349">
        <v>0</v>
      </c>
      <c r="CT15" s="349">
        <v>0</v>
      </c>
      <c r="CU15" s="350">
        <v>0</v>
      </c>
      <c r="CV15" s="350">
        <v>0</v>
      </c>
      <c r="CW15" s="349">
        <v>0</v>
      </c>
      <c r="CX15" s="349">
        <v>0</v>
      </c>
      <c r="CY15" s="350">
        <v>72.334337764797368</v>
      </c>
      <c r="CZ15" s="350">
        <v>0</v>
      </c>
      <c r="DA15" s="349">
        <v>0</v>
      </c>
      <c r="DB15" s="349">
        <v>0</v>
      </c>
      <c r="DC15" s="350">
        <v>0</v>
      </c>
      <c r="DD15" s="350">
        <v>0</v>
      </c>
      <c r="DE15" s="349">
        <v>0</v>
      </c>
      <c r="DF15" s="349">
        <v>0</v>
      </c>
      <c r="DG15" s="350">
        <v>0</v>
      </c>
      <c r="DH15" s="350">
        <v>0</v>
      </c>
      <c r="DI15" s="349">
        <v>0</v>
      </c>
      <c r="DJ15" s="349">
        <v>0</v>
      </c>
      <c r="DK15" s="350">
        <v>0</v>
      </c>
      <c r="DL15" s="350">
        <v>0</v>
      </c>
      <c r="DM15" s="349">
        <v>0</v>
      </c>
      <c r="DN15" s="349">
        <v>0</v>
      </c>
      <c r="DO15" s="350">
        <v>0</v>
      </c>
      <c r="DP15" s="350">
        <v>0</v>
      </c>
    </row>
    <row r="16" spans="1:176" ht="15" customHeight="1" x14ac:dyDescent="0.2">
      <c r="F16" s="347" t="s">
        <v>585</v>
      </c>
      <c r="I16" s="349">
        <v>48.975192749999998</v>
      </c>
      <c r="J16" s="349">
        <v>0</v>
      </c>
      <c r="K16" s="350">
        <v>29.510192749999998</v>
      </c>
      <c r="L16" s="350">
        <v>0</v>
      </c>
      <c r="M16" s="349">
        <v>60.738192749999989</v>
      </c>
      <c r="N16" s="349">
        <v>0</v>
      </c>
      <c r="O16" s="350">
        <v>109.73719275000002</v>
      </c>
      <c r="P16" s="350">
        <v>0</v>
      </c>
      <c r="Q16" s="349">
        <v>71.128</v>
      </c>
      <c r="R16" s="349">
        <v>0</v>
      </c>
      <c r="S16" s="350">
        <v>39.605999999999995</v>
      </c>
      <c r="T16" s="350">
        <v>0</v>
      </c>
      <c r="U16" s="349">
        <v>61.155000000000015</v>
      </c>
      <c r="V16" s="349">
        <v>0</v>
      </c>
      <c r="W16" s="350">
        <v>178.25400000000002</v>
      </c>
      <c r="X16" s="350">
        <v>0</v>
      </c>
      <c r="Y16" s="349">
        <v>88.616</v>
      </c>
      <c r="Z16" s="349">
        <v>0</v>
      </c>
      <c r="AA16" s="350">
        <v>54.073000000000008</v>
      </c>
      <c r="AB16" s="350">
        <v>0</v>
      </c>
      <c r="AC16" s="349">
        <v>63.851999999999997</v>
      </c>
      <c r="AD16" s="349">
        <v>0</v>
      </c>
      <c r="AE16" s="350">
        <v>173.88474910488489</v>
      </c>
      <c r="AF16" s="350">
        <v>0</v>
      </c>
      <c r="AG16" s="349">
        <v>65.721999999999994</v>
      </c>
      <c r="AH16" s="349">
        <v>0</v>
      </c>
      <c r="AI16" s="350">
        <v>52.76700000000001</v>
      </c>
      <c r="AJ16" s="350">
        <v>0</v>
      </c>
      <c r="AK16" s="349">
        <v>58.018000000000001</v>
      </c>
      <c r="AL16" s="349">
        <v>0</v>
      </c>
      <c r="AM16" s="350">
        <v>175.46495481427092</v>
      </c>
      <c r="AN16" s="350">
        <v>0</v>
      </c>
      <c r="AO16" s="349">
        <v>69.195000000000007</v>
      </c>
      <c r="AP16" s="349">
        <v>0</v>
      </c>
      <c r="AQ16" s="350">
        <v>48.224000000000004</v>
      </c>
      <c r="AR16" s="350">
        <v>0</v>
      </c>
      <c r="AS16" s="349">
        <v>54.309000000000005</v>
      </c>
      <c r="AT16" s="349">
        <v>0</v>
      </c>
      <c r="AU16" s="350">
        <v>278.11282740349213</v>
      </c>
      <c r="AV16" s="350">
        <v>0</v>
      </c>
      <c r="AW16" s="351">
        <v>65.092999999999989</v>
      </c>
      <c r="AX16" s="351">
        <v>3.2476613673520665</v>
      </c>
      <c r="AY16" s="350">
        <v>40.087501695226536</v>
      </c>
      <c r="AZ16" s="350">
        <v>3.2476613673520665</v>
      </c>
      <c r="BA16" s="349">
        <v>48.82800000000001</v>
      </c>
      <c r="BB16" s="349">
        <v>3.2476613673520665</v>
      </c>
      <c r="BC16" s="350">
        <v>346.42542311916077</v>
      </c>
      <c r="BD16" s="350">
        <v>3.2476613673520665</v>
      </c>
      <c r="BE16" s="349">
        <v>63.362992048956308</v>
      </c>
      <c r="BF16" s="349">
        <v>2.4734042526531028</v>
      </c>
      <c r="BG16" s="350">
        <v>39.202977100901343</v>
      </c>
      <c r="BH16" s="350">
        <v>2.4734042526531028</v>
      </c>
      <c r="BI16" s="349">
        <v>38.557988247857068</v>
      </c>
      <c r="BJ16" s="349">
        <v>2.4734042526531028</v>
      </c>
      <c r="BK16" s="350">
        <v>83.72749850264799</v>
      </c>
      <c r="BL16" s="350">
        <v>2.4734042526531028</v>
      </c>
      <c r="BM16" s="349">
        <v>67.333985280160178</v>
      </c>
      <c r="BN16" s="349">
        <v>3.1724999999999999</v>
      </c>
      <c r="BO16" s="350">
        <v>85.499035855396485</v>
      </c>
      <c r="BP16" s="350">
        <v>3.1724999999999999</v>
      </c>
      <c r="BQ16" s="349">
        <v>47.062785999186218</v>
      </c>
      <c r="BR16" s="349">
        <v>3.1724999999999999</v>
      </c>
      <c r="BS16" s="350">
        <v>60.11057542061215</v>
      </c>
      <c r="BT16" s="350">
        <v>3.1724999999999999</v>
      </c>
      <c r="BU16" s="349">
        <v>49.501559789068359</v>
      </c>
      <c r="BV16" s="349">
        <v>0.81</v>
      </c>
      <c r="BW16" s="350">
        <v>46.758943467896941</v>
      </c>
      <c r="BX16" s="350">
        <v>0.81</v>
      </c>
      <c r="BY16" s="349">
        <v>57.469969141005976</v>
      </c>
      <c r="BZ16" s="349">
        <v>0.81</v>
      </c>
      <c r="CA16" s="350">
        <v>37.224419279952947</v>
      </c>
      <c r="CB16" s="350">
        <v>0.81</v>
      </c>
      <c r="CC16" s="349">
        <v>57.985270808250192</v>
      </c>
      <c r="CD16" s="349">
        <v>1.01</v>
      </c>
      <c r="CE16" s="350">
        <v>81.697999999999993</v>
      </c>
      <c r="CF16" s="350">
        <v>1.01</v>
      </c>
      <c r="CG16" s="349">
        <v>44.237000000000045</v>
      </c>
      <c r="CH16" s="349">
        <v>1.01</v>
      </c>
      <c r="CI16" s="350">
        <v>105.12599999999998</v>
      </c>
      <c r="CJ16" s="350">
        <v>1.01</v>
      </c>
      <c r="CK16" s="349">
        <v>-17.831651945976368</v>
      </c>
      <c r="CL16" s="349">
        <v>0.8600000000000001</v>
      </c>
      <c r="CM16" s="350">
        <v>-15.058222765379462</v>
      </c>
      <c r="CN16" s="350">
        <v>0.8600000000000001</v>
      </c>
      <c r="CO16" s="349">
        <v>92.078801686582096</v>
      </c>
      <c r="CP16" s="349">
        <v>0.8600000000000001</v>
      </c>
      <c r="CQ16" s="350">
        <v>104.79539379971337</v>
      </c>
      <c r="CR16" s="350">
        <v>0.8600000000000001</v>
      </c>
      <c r="CS16" s="349">
        <v>49.010183681752714</v>
      </c>
      <c r="CT16" s="349">
        <v>1.81</v>
      </c>
      <c r="CU16" s="350">
        <v>29.506856742058698</v>
      </c>
      <c r="CV16" s="350">
        <v>1.81</v>
      </c>
      <c r="CW16" s="349">
        <v>49.903105192731687</v>
      </c>
      <c r="CX16" s="349">
        <v>1.81</v>
      </c>
      <c r="CY16" s="350">
        <v>140.06858265376712</v>
      </c>
      <c r="CZ16" s="350">
        <v>1.81</v>
      </c>
      <c r="DA16" s="349">
        <v>33.860966534207058</v>
      </c>
      <c r="DB16" s="349">
        <v>1.0973294505630602</v>
      </c>
      <c r="DC16" s="350">
        <v>29.805147158019022</v>
      </c>
      <c r="DD16" s="350">
        <v>2.3598750839506937</v>
      </c>
      <c r="DE16" s="349">
        <v>35.856462357161924</v>
      </c>
      <c r="DF16" s="349">
        <v>5.2843616719989654</v>
      </c>
      <c r="DG16" s="350">
        <v>70.453297652341917</v>
      </c>
      <c r="DH16" s="350">
        <v>3.5457986003567621</v>
      </c>
      <c r="DI16" s="349">
        <v>54.730480350844331</v>
      </c>
      <c r="DJ16" s="349">
        <v>2.9177053567925753</v>
      </c>
      <c r="DK16" s="350">
        <v>45.22576691845191</v>
      </c>
      <c r="DL16" s="350">
        <v>6.1908342997069639</v>
      </c>
      <c r="DM16" s="349">
        <v>79.11063154412598</v>
      </c>
      <c r="DN16" s="349">
        <v>5.538356773731886</v>
      </c>
      <c r="DO16" s="350">
        <v>87.07254269180568</v>
      </c>
      <c r="DP16" s="350">
        <v>1.6882318845176862</v>
      </c>
    </row>
    <row r="17" spans="1:120" ht="15" customHeight="1" x14ac:dyDescent="0.2">
      <c r="H17" s="353" t="s">
        <v>582</v>
      </c>
      <c r="I17" s="349"/>
      <c r="J17" s="349"/>
      <c r="K17" s="350"/>
      <c r="L17" s="350"/>
      <c r="M17" s="349"/>
      <c r="N17" s="349"/>
      <c r="O17" s="350"/>
      <c r="P17" s="350"/>
      <c r="Q17" s="349"/>
      <c r="R17" s="349"/>
      <c r="S17" s="350"/>
      <c r="T17" s="350"/>
      <c r="U17" s="349"/>
      <c r="V17" s="349"/>
      <c r="W17" s="350"/>
      <c r="X17" s="350"/>
      <c r="Y17" s="349"/>
      <c r="Z17" s="349"/>
      <c r="AA17" s="350"/>
      <c r="AB17" s="350"/>
      <c r="AC17" s="349"/>
      <c r="AD17" s="349"/>
      <c r="AE17" s="350"/>
      <c r="AF17" s="350"/>
      <c r="AG17" s="349"/>
      <c r="AH17" s="349"/>
      <c r="AI17" s="350"/>
      <c r="AJ17" s="350"/>
      <c r="AK17" s="349"/>
      <c r="AL17" s="349"/>
      <c r="AM17" s="350"/>
      <c r="AN17" s="350"/>
      <c r="AO17" s="349"/>
      <c r="AP17" s="349"/>
      <c r="AQ17" s="350"/>
      <c r="AR17" s="350"/>
      <c r="AS17" s="349"/>
      <c r="AT17" s="349"/>
      <c r="AU17" s="350"/>
      <c r="AV17" s="350"/>
      <c r="AW17" s="351"/>
      <c r="AX17" s="351"/>
      <c r="AY17" s="350"/>
      <c r="AZ17" s="350"/>
      <c r="BA17" s="349"/>
      <c r="BB17" s="349"/>
      <c r="BC17" s="350"/>
      <c r="BD17" s="350"/>
      <c r="BE17" s="349"/>
      <c r="BF17" s="349"/>
      <c r="BG17" s="350"/>
      <c r="BH17" s="350"/>
      <c r="BI17" s="349"/>
      <c r="BJ17" s="349"/>
      <c r="BK17" s="350"/>
      <c r="BL17" s="350"/>
      <c r="BM17" s="349"/>
      <c r="BN17" s="349"/>
      <c r="BO17" s="350"/>
      <c r="BP17" s="350"/>
      <c r="BQ17" s="349"/>
      <c r="BR17" s="349"/>
      <c r="BS17" s="350"/>
      <c r="BT17" s="350"/>
      <c r="BU17" s="349">
        <v>49.609000000000009</v>
      </c>
      <c r="BV17" s="349"/>
      <c r="BW17" s="350">
        <v>38.843999999999994</v>
      </c>
      <c r="BX17" s="350"/>
      <c r="BY17" s="349">
        <v>68.338000000000022</v>
      </c>
      <c r="BZ17" s="349"/>
      <c r="CA17" s="350">
        <v>42.422000000000004</v>
      </c>
      <c r="CB17" s="350"/>
      <c r="CC17" s="349">
        <v>52.656999999999982</v>
      </c>
      <c r="CD17" s="349"/>
      <c r="CE17" s="350">
        <v>81.697999999999993</v>
      </c>
      <c r="CF17" s="350"/>
      <c r="CG17" s="349">
        <v>44.237000000000045</v>
      </c>
      <c r="CH17" s="349"/>
      <c r="CI17" s="350">
        <v>105.12599999999998</v>
      </c>
      <c r="CJ17" s="350"/>
      <c r="CK17" s="349">
        <v>23.582999999999998</v>
      </c>
      <c r="CL17" s="349"/>
      <c r="CM17" s="350">
        <v>32.817999999999998</v>
      </c>
      <c r="CN17" s="350"/>
      <c r="CO17" s="349">
        <v>38.182000000000002</v>
      </c>
      <c r="CP17" s="349"/>
      <c r="CQ17" s="350">
        <v>58.763000000000005</v>
      </c>
      <c r="CR17" s="350"/>
      <c r="CS17" s="349">
        <v>47.573999999999998</v>
      </c>
      <c r="CT17" s="349"/>
      <c r="CU17" s="350">
        <v>36.195</v>
      </c>
      <c r="CV17" s="350"/>
      <c r="CW17" s="349">
        <v>26.600999999999999</v>
      </c>
      <c r="CX17" s="349"/>
      <c r="CY17" s="350">
        <v>68.981000000000051</v>
      </c>
      <c r="CZ17" s="350"/>
      <c r="DA17" s="349">
        <v>24.613599999999998</v>
      </c>
      <c r="DB17" s="349"/>
      <c r="DC17" s="350">
        <v>22.064099999999986</v>
      </c>
      <c r="DD17" s="350"/>
      <c r="DE17" s="349">
        <v>28.268300000000011</v>
      </c>
      <c r="DF17" s="349"/>
      <c r="DG17" s="350">
        <v>60.551099999999991</v>
      </c>
      <c r="DH17" s="350"/>
      <c r="DI17" s="349">
        <v>28.139400000000002</v>
      </c>
      <c r="DJ17" s="349"/>
      <c r="DK17" s="350">
        <v>32.984600000000015</v>
      </c>
      <c r="DL17" s="350"/>
      <c r="DM17" s="349">
        <v>70.790899999999993</v>
      </c>
      <c r="DN17" s="349"/>
      <c r="DO17" s="350">
        <v>62.307199999999966</v>
      </c>
      <c r="DP17" s="350"/>
    </row>
    <row r="18" spans="1:120" ht="15" customHeight="1" x14ac:dyDescent="0.2">
      <c r="H18" s="353" t="s">
        <v>583</v>
      </c>
      <c r="I18" s="349"/>
      <c r="J18" s="349"/>
      <c r="K18" s="350"/>
      <c r="L18" s="350"/>
      <c r="M18" s="349"/>
      <c r="N18" s="349"/>
      <c r="O18" s="350"/>
      <c r="P18" s="350"/>
      <c r="Q18" s="349"/>
      <c r="R18" s="349"/>
      <c r="S18" s="350"/>
      <c r="T18" s="350"/>
      <c r="U18" s="349"/>
      <c r="V18" s="349"/>
      <c r="W18" s="350"/>
      <c r="X18" s="350"/>
      <c r="Y18" s="349"/>
      <c r="Z18" s="349"/>
      <c r="AA18" s="350"/>
      <c r="AB18" s="350"/>
      <c r="AC18" s="349"/>
      <c r="AD18" s="349"/>
      <c r="AE18" s="350"/>
      <c r="AF18" s="350"/>
      <c r="AG18" s="349"/>
      <c r="AH18" s="349"/>
      <c r="AI18" s="350"/>
      <c r="AJ18" s="350"/>
      <c r="AK18" s="349"/>
      <c r="AL18" s="349"/>
      <c r="AM18" s="350"/>
      <c r="AN18" s="350"/>
      <c r="AO18" s="349"/>
      <c r="AP18" s="349"/>
      <c r="AQ18" s="350"/>
      <c r="AR18" s="350"/>
      <c r="AS18" s="349"/>
      <c r="AT18" s="349"/>
      <c r="AU18" s="350"/>
      <c r="AV18" s="350"/>
      <c r="AW18" s="351"/>
      <c r="AX18" s="351"/>
      <c r="AY18" s="350"/>
      <c r="AZ18" s="350"/>
      <c r="BA18" s="349"/>
      <c r="BB18" s="349"/>
      <c r="BC18" s="350"/>
      <c r="BD18" s="350"/>
      <c r="BE18" s="349"/>
      <c r="BF18" s="349"/>
      <c r="BG18" s="350"/>
      <c r="BH18" s="350"/>
      <c r="BI18" s="349"/>
      <c r="BJ18" s="349"/>
      <c r="BK18" s="350"/>
      <c r="BL18" s="350"/>
      <c r="BM18" s="349"/>
      <c r="BN18" s="349"/>
      <c r="BO18" s="350"/>
      <c r="BP18" s="350"/>
      <c r="BQ18" s="349"/>
      <c r="BR18" s="349"/>
      <c r="BS18" s="350"/>
      <c r="BT18" s="350"/>
      <c r="BU18" s="349">
        <v>-0.10744021093165051</v>
      </c>
      <c r="BV18" s="349"/>
      <c r="BW18" s="350">
        <v>7.9149434678969506</v>
      </c>
      <c r="BX18" s="350"/>
      <c r="BY18" s="349">
        <v>-10.868030858994048</v>
      </c>
      <c r="BZ18" s="349"/>
      <c r="CA18" s="350">
        <v>-5.1975807200470543</v>
      </c>
      <c r="CB18" s="350"/>
      <c r="CC18" s="349">
        <v>5.3282708082502115</v>
      </c>
      <c r="CD18" s="349"/>
      <c r="CE18" s="350">
        <v>0</v>
      </c>
      <c r="CF18" s="350"/>
      <c r="CG18" s="349">
        <v>0</v>
      </c>
      <c r="CH18" s="349"/>
      <c r="CI18" s="350">
        <v>0</v>
      </c>
      <c r="CJ18" s="350"/>
      <c r="CK18" s="349">
        <v>-41.414651945976367</v>
      </c>
      <c r="CL18" s="349"/>
      <c r="CM18" s="350">
        <v>-47.87622276537946</v>
      </c>
      <c r="CN18" s="350"/>
      <c r="CO18" s="349">
        <v>53.896801686582094</v>
      </c>
      <c r="CP18" s="349"/>
      <c r="CQ18" s="350">
        <v>-3.5619504753444291</v>
      </c>
      <c r="CR18" s="350"/>
      <c r="CS18" s="349">
        <v>1.4361836817527194</v>
      </c>
      <c r="CT18" s="349"/>
      <c r="CU18" s="350">
        <v>-6.6881432579413023</v>
      </c>
      <c r="CV18" s="350"/>
      <c r="CW18" s="349">
        <v>23.302105192731691</v>
      </c>
      <c r="CX18" s="349"/>
      <c r="CY18" s="350">
        <v>20.876601840974136</v>
      </c>
      <c r="CZ18" s="350"/>
      <c r="DA18" s="349">
        <v>9.2473665342070586</v>
      </c>
      <c r="DB18" s="349"/>
      <c r="DC18" s="350">
        <v>7.7410471580190352</v>
      </c>
      <c r="DD18" s="350"/>
      <c r="DE18" s="349">
        <v>7.588162357161913</v>
      </c>
      <c r="DF18" s="349"/>
      <c r="DG18" s="350">
        <v>9.9021976523419308</v>
      </c>
      <c r="DH18" s="350"/>
      <c r="DI18" s="349">
        <v>26.591080350844329</v>
      </c>
      <c r="DJ18" s="349"/>
      <c r="DK18" s="350">
        <v>12.241166918451896</v>
      </c>
      <c r="DL18" s="350"/>
      <c r="DM18" s="349">
        <v>8.319731544125986</v>
      </c>
      <c r="DN18" s="349"/>
      <c r="DO18" s="350">
        <v>24.765342691805714</v>
      </c>
      <c r="DP18" s="350"/>
    </row>
    <row r="19" spans="1:120" ht="15" customHeight="1" x14ac:dyDescent="0.2">
      <c r="H19" s="353" t="s">
        <v>584</v>
      </c>
      <c r="I19" s="349"/>
      <c r="J19" s="349"/>
      <c r="K19" s="350"/>
      <c r="L19" s="350"/>
      <c r="M19" s="349"/>
      <c r="N19" s="349"/>
      <c r="O19" s="350"/>
      <c r="P19" s="350"/>
      <c r="Q19" s="349"/>
      <c r="R19" s="349"/>
      <c r="S19" s="350"/>
      <c r="T19" s="350"/>
      <c r="U19" s="349"/>
      <c r="V19" s="349"/>
      <c r="W19" s="350"/>
      <c r="X19" s="350"/>
      <c r="Y19" s="349"/>
      <c r="Z19" s="349"/>
      <c r="AA19" s="350"/>
      <c r="AB19" s="350"/>
      <c r="AC19" s="349"/>
      <c r="AD19" s="349"/>
      <c r="AE19" s="350"/>
      <c r="AF19" s="350"/>
      <c r="AG19" s="349"/>
      <c r="AH19" s="349"/>
      <c r="AI19" s="350"/>
      <c r="AJ19" s="350"/>
      <c r="AK19" s="349"/>
      <c r="AL19" s="349"/>
      <c r="AM19" s="350"/>
      <c r="AN19" s="350"/>
      <c r="AO19" s="349"/>
      <c r="AP19" s="349"/>
      <c r="AQ19" s="350"/>
      <c r="AR19" s="350"/>
      <c r="AS19" s="349"/>
      <c r="AT19" s="349"/>
      <c r="AU19" s="350"/>
      <c r="AV19" s="350"/>
      <c r="AW19" s="351"/>
      <c r="AX19" s="351"/>
      <c r="AY19" s="350"/>
      <c r="AZ19" s="350"/>
      <c r="BA19" s="349"/>
      <c r="BB19" s="349"/>
      <c r="BC19" s="350"/>
      <c r="BD19" s="350"/>
      <c r="BE19" s="349"/>
      <c r="BF19" s="349"/>
      <c r="BG19" s="350"/>
      <c r="BH19" s="350"/>
      <c r="BI19" s="349"/>
      <c r="BJ19" s="349"/>
      <c r="BK19" s="350"/>
      <c r="BL19" s="350"/>
      <c r="BM19" s="349"/>
      <c r="BN19" s="349"/>
      <c r="BO19" s="350"/>
      <c r="BP19" s="350"/>
      <c r="BQ19" s="349"/>
      <c r="BR19" s="349"/>
      <c r="BS19" s="350"/>
      <c r="BT19" s="350"/>
      <c r="BU19" s="349"/>
      <c r="BV19" s="349"/>
      <c r="BW19" s="350"/>
      <c r="BX19" s="350"/>
      <c r="BY19" s="349"/>
      <c r="BZ19" s="349"/>
      <c r="CA19" s="350"/>
      <c r="CB19" s="350"/>
      <c r="CC19" s="349"/>
      <c r="CD19" s="349"/>
      <c r="CE19" s="350"/>
      <c r="CF19" s="350"/>
      <c r="CG19" s="349"/>
      <c r="CH19" s="349"/>
      <c r="CI19" s="350"/>
      <c r="CJ19" s="350"/>
      <c r="CK19" s="349">
        <v>0</v>
      </c>
      <c r="CL19" s="349"/>
      <c r="CM19" s="350">
        <v>0</v>
      </c>
      <c r="CN19" s="350"/>
      <c r="CO19" s="349">
        <v>0</v>
      </c>
      <c r="CP19" s="349"/>
      <c r="CQ19" s="350">
        <v>49.594344275057786</v>
      </c>
      <c r="CR19" s="350"/>
      <c r="CS19" s="349">
        <v>0</v>
      </c>
      <c r="CT19" s="349"/>
      <c r="CU19" s="350">
        <v>0</v>
      </c>
      <c r="CV19" s="350"/>
      <c r="CW19" s="349">
        <v>0</v>
      </c>
      <c r="CX19" s="349"/>
      <c r="CY19" s="350">
        <v>50.21098081279294</v>
      </c>
      <c r="CZ19" s="350"/>
      <c r="DA19" s="349">
        <v>0</v>
      </c>
      <c r="DB19" s="349"/>
      <c r="DC19" s="350">
        <v>0</v>
      </c>
      <c r="DD19" s="350"/>
      <c r="DE19" s="349">
        <v>0</v>
      </c>
      <c r="DF19" s="349"/>
      <c r="DG19" s="350">
        <v>0</v>
      </c>
      <c r="DH19" s="350"/>
      <c r="DI19" s="349">
        <v>0</v>
      </c>
      <c r="DJ19" s="349"/>
      <c r="DK19" s="350">
        <v>0</v>
      </c>
      <c r="DL19" s="350"/>
      <c r="DM19" s="349">
        <v>0</v>
      </c>
      <c r="DN19" s="349"/>
      <c r="DO19" s="350">
        <v>0</v>
      </c>
      <c r="DP19" s="350"/>
    </row>
    <row r="20" spans="1:120" s="354" customFormat="1" ht="15" customHeight="1" x14ac:dyDescent="0.2">
      <c r="A20" s="272"/>
      <c r="E20" s="354" t="s">
        <v>586</v>
      </c>
      <c r="H20" s="355"/>
      <c r="I20" s="351">
        <v>174.70000976854851</v>
      </c>
      <c r="J20" s="351">
        <v>0</v>
      </c>
      <c r="K20" s="356">
        <v>152.62700976854848</v>
      </c>
      <c r="L20" s="356">
        <v>0</v>
      </c>
      <c r="M20" s="351">
        <v>110.16000976854851</v>
      </c>
      <c r="N20" s="351">
        <v>0</v>
      </c>
      <c r="O20" s="356">
        <v>143.53300976854845</v>
      </c>
      <c r="P20" s="356">
        <v>0</v>
      </c>
      <c r="Q20" s="351">
        <v>103.47762914933858</v>
      </c>
      <c r="R20" s="351">
        <v>0</v>
      </c>
      <c r="S20" s="356">
        <v>129.28425568396585</v>
      </c>
      <c r="T20" s="356">
        <v>0</v>
      </c>
      <c r="U20" s="351">
        <v>119.60945940422053</v>
      </c>
      <c r="V20" s="351">
        <v>0</v>
      </c>
      <c r="W20" s="356">
        <v>169.77740568018802</v>
      </c>
      <c r="X20" s="356">
        <v>0</v>
      </c>
      <c r="Y20" s="351">
        <v>81.88</v>
      </c>
      <c r="Z20" s="351">
        <v>0</v>
      </c>
      <c r="AA20" s="356">
        <v>67.08</v>
      </c>
      <c r="AB20" s="356">
        <v>0</v>
      </c>
      <c r="AC20" s="351">
        <v>142.54700000000003</v>
      </c>
      <c r="AD20" s="351">
        <v>0</v>
      </c>
      <c r="AE20" s="356">
        <v>133.52339899479628</v>
      </c>
      <c r="AF20" s="356">
        <v>0</v>
      </c>
      <c r="AG20" s="351">
        <v>29.052356972085761</v>
      </c>
      <c r="AH20" s="351">
        <v>0</v>
      </c>
      <c r="AI20" s="356">
        <v>57.720566644450614</v>
      </c>
      <c r="AJ20" s="356">
        <v>0</v>
      </c>
      <c r="AK20" s="351">
        <v>29.873950000000001</v>
      </c>
      <c r="AL20" s="351">
        <v>0</v>
      </c>
      <c r="AM20" s="356">
        <v>124.10043549817492</v>
      </c>
      <c r="AN20" s="356">
        <v>0</v>
      </c>
      <c r="AO20" s="351">
        <v>22.297688717366867</v>
      </c>
      <c r="AP20" s="351">
        <v>0.5382328944700695</v>
      </c>
      <c r="AQ20" s="356">
        <v>30.011272262068967</v>
      </c>
      <c r="AR20" s="356">
        <v>0.5382328944700695</v>
      </c>
      <c r="AS20" s="351">
        <v>34.289798262068963</v>
      </c>
      <c r="AT20" s="351">
        <v>0.5382328944700695</v>
      </c>
      <c r="AU20" s="356">
        <v>100.81207040528936</v>
      </c>
      <c r="AV20" s="356">
        <v>0.5382328944700695</v>
      </c>
      <c r="AW20" s="351">
        <v>70.520647780438622</v>
      </c>
      <c r="AX20" s="351">
        <v>1</v>
      </c>
      <c r="AY20" s="356">
        <v>195.37702687047999</v>
      </c>
      <c r="AZ20" s="356">
        <v>1</v>
      </c>
      <c r="BA20" s="351">
        <v>54.162830802855083</v>
      </c>
      <c r="BB20" s="351">
        <v>1</v>
      </c>
      <c r="BC20" s="356">
        <v>520.3993450149402</v>
      </c>
      <c r="BD20" s="356">
        <v>1</v>
      </c>
      <c r="BE20" s="351">
        <v>220.28934799999982</v>
      </c>
      <c r="BF20" s="351">
        <v>2.4250000000000003</v>
      </c>
      <c r="BG20" s="356">
        <v>851.30406000000005</v>
      </c>
      <c r="BH20" s="356">
        <v>2.4250000000000003</v>
      </c>
      <c r="BI20" s="351">
        <v>66.344105999999925</v>
      </c>
      <c r="BJ20" s="351">
        <v>2.4250000000000003</v>
      </c>
      <c r="BK20" s="356">
        <v>13.351385952466757</v>
      </c>
      <c r="BL20" s="356">
        <v>2.4250000000000003</v>
      </c>
      <c r="BM20" s="351">
        <v>93.646250801312718</v>
      </c>
      <c r="BN20" s="351">
        <v>3.1437746275</v>
      </c>
      <c r="BO20" s="356">
        <v>113.30102667993755</v>
      </c>
      <c r="BP20" s="356">
        <v>3.1437746275</v>
      </c>
      <c r="BQ20" s="351">
        <v>58.614537038749425</v>
      </c>
      <c r="BR20" s="351">
        <v>3.1437746275</v>
      </c>
      <c r="BS20" s="356">
        <v>108.39066514308735</v>
      </c>
      <c r="BT20" s="356">
        <v>3.1437746275</v>
      </c>
      <c r="BU20" s="351">
        <v>70.244</v>
      </c>
      <c r="BV20" s="351">
        <v>1.0512746275</v>
      </c>
      <c r="BW20" s="356">
        <v>65.141999999999996</v>
      </c>
      <c r="BX20" s="356">
        <v>1.0512746275</v>
      </c>
      <c r="BY20" s="351">
        <v>45.105999999999995</v>
      </c>
      <c r="BZ20" s="351">
        <v>1.0512746275</v>
      </c>
      <c r="CA20" s="356">
        <v>42.250000000000014</v>
      </c>
      <c r="CB20" s="356">
        <v>1.0512746275</v>
      </c>
      <c r="CC20" s="351">
        <v>63.655000000000001</v>
      </c>
      <c r="CD20" s="351">
        <v>1.2012746275000001</v>
      </c>
      <c r="CE20" s="356">
        <v>49.209999999999994</v>
      </c>
      <c r="CF20" s="356">
        <v>1.2012746275000001</v>
      </c>
      <c r="CG20" s="351">
        <v>98.53</v>
      </c>
      <c r="CH20" s="351">
        <v>1.2012746275000001</v>
      </c>
      <c r="CI20" s="356">
        <v>69.153000000000006</v>
      </c>
      <c r="CJ20" s="356">
        <v>1.2012746275000001</v>
      </c>
      <c r="CK20" s="351">
        <v>147.63300000000001</v>
      </c>
      <c r="CL20" s="351">
        <v>1.1512746274999999</v>
      </c>
      <c r="CM20" s="356">
        <v>137.45000000000002</v>
      </c>
      <c r="CN20" s="356">
        <v>1.1512746274999999</v>
      </c>
      <c r="CO20" s="351">
        <v>183.47476968122743</v>
      </c>
      <c r="CP20" s="351">
        <v>1.1512746274999999</v>
      </c>
      <c r="CQ20" s="356">
        <v>141.083629108118</v>
      </c>
      <c r="CR20" s="356">
        <v>1.1512746274999999</v>
      </c>
      <c r="CS20" s="351">
        <v>79.602000000000004</v>
      </c>
      <c r="CT20" s="351">
        <v>1.1512746274999999</v>
      </c>
      <c r="CU20" s="356">
        <v>63.128</v>
      </c>
      <c r="CV20" s="356">
        <v>1.1512746274999999</v>
      </c>
      <c r="CW20" s="351">
        <v>67.004000000000005</v>
      </c>
      <c r="CX20" s="351">
        <v>1.1512746274999999</v>
      </c>
      <c r="CY20" s="356">
        <v>6.5787629550000872</v>
      </c>
      <c r="CZ20" s="356">
        <v>1.1512746274999999</v>
      </c>
      <c r="DA20" s="351">
        <v>56.31750000000001</v>
      </c>
      <c r="DB20" s="351">
        <v>1.0512746275</v>
      </c>
      <c r="DC20" s="356">
        <v>58.193200000000004</v>
      </c>
      <c r="DD20" s="356">
        <v>1.0512746275</v>
      </c>
      <c r="DE20" s="351">
        <v>9.7345999999999968</v>
      </c>
      <c r="DF20" s="351">
        <v>1.0512746275</v>
      </c>
      <c r="DG20" s="356">
        <v>137.98160000000001</v>
      </c>
      <c r="DH20" s="356">
        <v>1.0512746275</v>
      </c>
      <c r="DI20" s="351">
        <v>31.399272572679934</v>
      </c>
      <c r="DJ20" s="351">
        <v>1.0512746275</v>
      </c>
      <c r="DK20" s="356">
        <v>121.71310000000001</v>
      </c>
      <c r="DL20" s="356">
        <v>1.0512746275</v>
      </c>
      <c r="DM20" s="351">
        <v>140.37139999999999</v>
      </c>
      <c r="DN20" s="351">
        <v>1.0512746275</v>
      </c>
      <c r="DO20" s="356">
        <v>398.85199999999992</v>
      </c>
      <c r="DP20" s="356">
        <v>1.0512746275</v>
      </c>
    </row>
    <row r="21" spans="1:120" s="354" customFormat="1" ht="15" customHeight="1" x14ac:dyDescent="0.2">
      <c r="A21" s="272"/>
      <c r="F21" s="354" t="s">
        <v>581</v>
      </c>
      <c r="H21" s="355"/>
      <c r="I21" s="351">
        <v>174.70000976854851</v>
      </c>
      <c r="J21" s="351">
        <v>0</v>
      </c>
      <c r="K21" s="356">
        <v>152.62700976854848</v>
      </c>
      <c r="L21" s="356">
        <v>0</v>
      </c>
      <c r="M21" s="351">
        <v>110.16000976854851</v>
      </c>
      <c r="N21" s="351">
        <v>0</v>
      </c>
      <c r="O21" s="356">
        <v>143.53300976854845</v>
      </c>
      <c r="P21" s="356">
        <v>0</v>
      </c>
      <c r="Q21" s="351">
        <v>103.47762914933858</v>
      </c>
      <c r="R21" s="351">
        <v>0</v>
      </c>
      <c r="S21" s="356">
        <v>129.28425568396585</v>
      </c>
      <c r="T21" s="356">
        <v>0</v>
      </c>
      <c r="U21" s="351">
        <v>119.60945940422053</v>
      </c>
      <c r="V21" s="351">
        <v>0</v>
      </c>
      <c r="W21" s="356">
        <v>169.77740568018802</v>
      </c>
      <c r="X21" s="356">
        <v>0</v>
      </c>
      <c r="Y21" s="351">
        <v>81.88</v>
      </c>
      <c r="Z21" s="351">
        <v>0</v>
      </c>
      <c r="AA21" s="356">
        <v>67.08</v>
      </c>
      <c r="AB21" s="356">
        <v>0</v>
      </c>
      <c r="AC21" s="351">
        <v>142.54700000000003</v>
      </c>
      <c r="AD21" s="351">
        <v>0</v>
      </c>
      <c r="AE21" s="356">
        <v>133.52339899479628</v>
      </c>
      <c r="AF21" s="356">
        <v>0</v>
      </c>
      <c r="AG21" s="351">
        <v>29.052356972085761</v>
      </c>
      <c r="AH21" s="351">
        <v>0</v>
      </c>
      <c r="AI21" s="356">
        <v>57.720566644450614</v>
      </c>
      <c r="AJ21" s="356">
        <v>0</v>
      </c>
      <c r="AK21" s="351">
        <v>29.873950000000001</v>
      </c>
      <c r="AL21" s="351">
        <v>0</v>
      </c>
      <c r="AM21" s="356">
        <v>124.10043549817492</v>
      </c>
      <c r="AN21" s="356">
        <v>0</v>
      </c>
      <c r="AO21" s="351">
        <v>22.297688717366867</v>
      </c>
      <c r="AP21" s="351">
        <v>0.5382328944700695</v>
      </c>
      <c r="AQ21" s="356">
        <v>30.011272262068967</v>
      </c>
      <c r="AR21" s="356">
        <v>0.5382328944700695</v>
      </c>
      <c r="AS21" s="351">
        <v>34.289798262068963</v>
      </c>
      <c r="AT21" s="351">
        <v>0.5382328944700695</v>
      </c>
      <c r="AU21" s="356">
        <v>100.81207040528936</v>
      </c>
      <c r="AV21" s="356">
        <v>0.5382328944700695</v>
      </c>
      <c r="AW21" s="351">
        <v>70.520647780438622</v>
      </c>
      <c r="AX21" s="351">
        <v>1</v>
      </c>
      <c r="AY21" s="356">
        <v>195.37702687047999</v>
      </c>
      <c r="AZ21" s="356">
        <v>1</v>
      </c>
      <c r="BA21" s="351">
        <v>54.162830802855083</v>
      </c>
      <c r="BB21" s="351">
        <v>1</v>
      </c>
      <c r="BC21" s="356">
        <v>520.3993450149402</v>
      </c>
      <c r="BD21" s="356">
        <v>1</v>
      </c>
      <c r="BE21" s="351">
        <v>220.28934799999982</v>
      </c>
      <c r="BF21" s="351">
        <v>2.4250000000000003</v>
      </c>
      <c r="BG21" s="356">
        <v>851.30406000000005</v>
      </c>
      <c r="BH21" s="356">
        <v>2.4250000000000003</v>
      </c>
      <c r="BI21" s="351">
        <v>66.344105999999925</v>
      </c>
      <c r="BJ21" s="351">
        <v>2.4250000000000003</v>
      </c>
      <c r="BK21" s="356">
        <v>13.351385952466757</v>
      </c>
      <c r="BL21" s="356">
        <v>2.4250000000000003</v>
      </c>
      <c r="BM21" s="351">
        <v>93.646250801312718</v>
      </c>
      <c r="BN21" s="351">
        <v>3.1437746275</v>
      </c>
      <c r="BO21" s="356">
        <v>113.30102667993755</v>
      </c>
      <c r="BP21" s="356">
        <v>3.1437746275</v>
      </c>
      <c r="BQ21" s="351">
        <v>58.614537038749425</v>
      </c>
      <c r="BR21" s="351">
        <v>3.1437746275</v>
      </c>
      <c r="BS21" s="356">
        <v>108.39066514308735</v>
      </c>
      <c r="BT21" s="356">
        <v>3.1437746275</v>
      </c>
      <c r="BU21" s="351">
        <v>70.244</v>
      </c>
      <c r="BV21" s="351">
        <v>1.0512746275</v>
      </c>
      <c r="BW21" s="356">
        <v>65.141999999999996</v>
      </c>
      <c r="BX21" s="356">
        <v>1.0512746275</v>
      </c>
      <c r="BY21" s="351">
        <v>45.105999999999995</v>
      </c>
      <c r="BZ21" s="351">
        <v>1.0512746275</v>
      </c>
      <c r="CA21" s="356">
        <v>42.250000000000014</v>
      </c>
      <c r="CB21" s="356">
        <v>1.0512746275</v>
      </c>
      <c r="CC21" s="351">
        <v>63.655000000000001</v>
      </c>
      <c r="CD21" s="351">
        <v>1.2012746275000001</v>
      </c>
      <c r="CE21" s="356">
        <v>49.209999999999994</v>
      </c>
      <c r="CF21" s="356">
        <v>1.2012746275000001</v>
      </c>
      <c r="CG21" s="351">
        <v>98.53</v>
      </c>
      <c r="CH21" s="351">
        <v>1.2012746275000001</v>
      </c>
      <c r="CI21" s="356">
        <v>69.153000000000006</v>
      </c>
      <c r="CJ21" s="356">
        <v>1.2012746275000001</v>
      </c>
      <c r="CK21" s="351">
        <v>147.63300000000001</v>
      </c>
      <c r="CL21" s="351">
        <v>1.1512746274999999</v>
      </c>
      <c r="CM21" s="356">
        <v>137.45000000000002</v>
      </c>
      <c r="CN21" s="356">
        <v>1.1512746274999999</v>
      </c>
      <c r="CO21" s="351">
        <v>183.47476968122743</v>
      </c>
      <c r="CP21" s="351">
        <v>1.1512746274999999</v>
      </c>
      <c r="CQ21" s="356">
        <v>141.083629108118</v>
      </c>
      <c r="CR21" s="356">
        <v>1.1512746274999999</v>
      </c>
      <c r="CS21" s="351">
        <v>79.602000000000004</v>
      </c>
      <c r="CT21" s="351">
        <v>1.1512746274999999</v>
      </c>
      <c r="CU21" s="356">
        <v>63.128</v>
      </c>
      <c r="CV21" s="356">
        <v>1.1512746274999999</v>
      </c>
      <c r="CW21" s="351">
        <v>67.004000000000005</v>
      </c>
      <c r="CX21" s="351">
        <v>1.1512746274999999</v>
      </c>
      <c r="CY21" s="356">
        <v>6.5787629550000872</v>
      </c>
      <c r="CZ21" s="356">
        <v>1.1512746274999999</v>
      </c>
      <c r="DA21" s="351">
        <v>56.31750000000001</v>
      </c>
      <c r="DB21" s="351">
        <v>1.0512746275</v>
      </c>
      <c r="DC21" s="356">
        <v>58.193200000000004</v>
      </c>
      <c r="DD21" s="356">
        <v>1.0512746275</v>
      </c>
      <c r="DE21" s="351">
        <v>9.7345999999999968</v>
      </c>
      <c r="DF21" s="351">
        <v>1.0512746275</v>
      </c>
      <c r="DG21" s="356">
        <v>137.98160000000001</v>
      </c>
      <c r="DH21" s="356">
        <v>1.0512746275</v>
      </c>
      <c r="DI21" s="351">
        <v>31.399272572679934</v>
      </c>
      <c r="DJ21" s="351">
        <v>1.0512746275</v>
      </c>
      <c r="DK21" s="356">
        <v>121.71310000000001</v>
      </c>
      <c r="DL21" s="356">
        <v>1.0512746275</v>
      </c>
      <c r="DM21" s="351">
        <v>140.37139999999999</v>
      </c>
      <c r="DN21" s="351">
        <v>1.0512746275</v>
      </c>
      <c r="DO21" s="356">
        <v>398.85199999999992</v>
      </c>
      <c r="DP21" s="356">
        <v>1.0512746275</v>
      </c>
    </row>
    <row r="22" spans="1:120" ht="15" customHeight="1" x14ac:dyDescent="0.2">
      <c r="F22" s="352"/>
      <c r="G22" s="352" t="s">
        <v>582</v>
      </c>
      <c r="H22" s="353"/>
      <c r="I22" s="349">
        <v>174.70000976854851</v>
      </c>
      <c r="J22" s="349">
        <v>0</v>
      </c>
      <c r="K22" s="350">
        <v>152.62700976854848</v>
      </c>
      <c r="L22" s="350">
        <v>0</v>
      </c>
      <c r="M22" s="349">
        <v>110.16000976854851</v>
      </c>
      <c r="N22" s="349">
        <v>0</v>
      </c>
      <c r="O22" s="350">
        <v>143.53300976854845</v>
      </c>
      <c r="P22" s="350">
        <v>0</v>
      </c>
      <c r="Q22" s="349">
        <v>101.53764314933858</v>
      </c>
      <c r="R22" s="349">
        <v>0</v>
      </c>
      <c r="S22" s="350">
        <v>128.05668568396584</v>
      </c>
      <c r="T22" s="350">
        <v>0</v>
      </c>
      <c r="U22" s="349">
        <v>119.18445940422053</v>
      </c>
      <c r="V22" s="349">
        <v>0</v>
      </c>
      <c r="W22" s="350">
        <v>168.61901593416422</v>
      </c>
      <c r="X22" s="350">
        <v>0</v>
      </c>
      <c r="Y22" s="349">
        <v>80.949999999999989</v>
      </c>
      <c r="Z22" s="349">
        <v>0</v>
      </c>
      <c r="AA22" s="350">
        <v>67.08</v>
      </c>
      <c r="AB22" s="350">
        <v>0</v>
      </c>
      <c r="AC22" s="349">
        <v>142.54700000000003</v>
      </c>
      <c r="AD22" s="349">
        <v>0</v>
      </c>
      <c r="AE22" s="350">
        <v>133.52339899479628</v>
      </c>
      <c r="AF22" s="350">
        <v>0</v>
      </c>
      <c r="AG22" s="349">
        <v>26.401</v>
      </c>
      <c r="AH22" s="349">
        <v>0</v>
      </c>
      <c r="AI22" s="350">
        <v>56.320566644450615</v>
      </c>
      <c r="AJ22" s="350">
        <v>0</v>
      </c>
      <c r="AK22" s="349">
        <v>27.766000000000002</v>
      </c>
      <c r="AL22" s="349">
        <v>0</v>
      </c>
      <c r="AM22" s="350">
        <v>-15.164916277518088</v>
      </c>
      <c r="AN22" s="350">
        <v>0</v>
      </c>
      <c r="AO22" s="349">
        <v>19.400844717366866</v>
      </c>
      <c r="AP22" s="349">
        <v>0</v>
      </c>
      <c r="AQ22" s="350">
        <v>29.531272262068967</v>
      </c>
      <c r="AR22" s="350">
        <v>0</v>
      </c>
      <c r="AS22" s="349">
        <v>32.789798262068963</v>
      </c>
      <c r="AT22" s="349">
        <v>0</v>
      </c>
      <c r="AU22" s="350">
        <v>23.608646405289363</v>
      </c>
      <c r="AV22" s="350">
        <v>0</v>
      </c>
      <c r="AW22" s="351">
        <v>47.967231299428661</v>
      </c>
      <c r="AX22" s="351">
        <v>0</v>
      </c>
      <c r="AY22" s="350">
        <v>174.22983063422782</v>
      </c>
      <c r="AZ22" s="350">
        <v>0</v>
      </c>
      <c r="BA22" s="349">
        <v>40.02030534455298</v>
      </c>
      <c r="BB22" s="349">
        <v>0</v>
      </c>
      <c r="BC22" s="350">
        <v>470.01615161766671</v>
      </c>
      <c r="BD22" s="350">
        <v>0</v>
      </c>
      <c r="BE22" s="349">
        <v>218.79573442286033</v>
      </c>
      <c r="BF22" s="349">
        <v>0</v>
      </c>
      <c r="BG22" s="350">
        <v>850.79925000000003</v>
      </c>
      <c r="BH22" s="350">
        <v>0</v>
      </c>
      <c r="BI22" s="349">
        <v>65.854249999999922</v>
      </c>
      <c r="BJ22" s="349">
        <v>0</v>
      </c>
      <c r="BK22" s="350">
        <v>-62.145263550306765</v>
      </c>
      <c r="BL22" s="350">
        <v>0</v>
      </c>
      <c r="BM22" s="349">
        <v>63.730999999999987</v>
      </c>
      <c r="BN22" s="349">
        <v>0</v>
      </c>
      <c r="BO22" s="350">
        <v>113.4558578664972</v>
      </c>
      <c r="BP22" s="350">
        <v>0</v>
      </c>
      <c r="BQ22" s="349">
        <v>58.766000000000005</v>
      </c>
      <c r="BR22" s="349">
        <v>0</v>
      </c>
      <c r="BS22" s="350">
        <v>78.534439009344069</v>
      </c>
      <c r="BT22" s="350">
        <v>0</v>
      </c>
      <c r="BU22" s="349">
        <v>70.244</v>
      </c>
      <c r="BV22" s="349">
        <v>0</v>
      </c>
      <c r="BW22" s="350">
        <v>65.141999999999996</v>
      </c>
      <c r="BX22" s="350">
        <v>0</v>
      </c>
      <c r="BY22" s="349">
        <v>45.105999999999995</v>
      </c>
      <c r="BZ22" s="349">
        <v>0</v>
      </c>
      <c r="CA22" s="350">
        <v>42.250000000000014</v>
      </c>
      <c r="CB22" s="350">
        <v>0</v>
      </c>
      <c r="CC22" s="349">
        <v>63.655000000000001</v>
      </c>
      <c r="CD22" s="349">
        <v>0</v>
      </c>
      <c r="CE22" s="350">
        <v>49.209999999999994</v>
      </c>
      <c r="CF22" s="350">
        <v>0</v>
      </c>
      <c r="CG22" s="349">
        <v>98.53</v>
      </c>
      <c r="CH22" s="349">
        <v>0</v>
      </c>
      <c r="CI22" s="350">
        <v>69.153000000000006</v>
      </c>
      <c r="CJ22" s="350">
        <v>0</v>
      </c>
      <c r="CK22" s="349">
        <v>147.63300000000001</v>
      </c>
      <c r="CL22" s="349">
        <v>0</v>
      </c>
      <c r="CM22" s="350">
        <v>137.45000000000002</v>
      </c>
      <c r="CN22" s="350">
        <v>0</v>
      </c>
      <c r="CO22" s="349">
        <v>177.137</v>
      </c>
      <c r="CP22" s="349">
        <v>0</v>
      </c>
      <c r="CQ22" s="350">
        <v>106.027517998118</v>
      </c>
      <c r="CR22" s="350">
        <v>0</v>
      </c>
      <c r="CS22" s="349">
        <v>79.602000000000004</v>
      </c>
      <c r="CT22" s="349">
        <v>0</v>
      </c>
      <c r="CU22" s="350">
        <v>63.128</v>
      </c>
      <c r="CV22" s="350">
        <v>0</v>
      </c>
      <c r="CW22" s="349">
        <v>67.004000000000005</v>
      </c>
      <c r="CX22" s="349">
        <v>0</v>
      </c>
      <c r="CY22" s="350">
        <v>154.6230000000001</v>
      </c>
      <c r="CZ22" s="350">
        <v>0</v>
      </c>
      <c r="DA22" s="349">
        <v>56.31750000000001</v>
      </c>
      <c r="DB22" s="349">
        <v>0</v>
      </c>
      <c r="DC22" s="350">
        <v>58.193200000000004</v>
      </c>
      <c r="DD22" s="350">
        <v>0</v>
      </c>
      <c r="DE22" s="349">
        <v>9.7345999999999968</v>
      </c>
      <c r="DF22" s="349">
        <v>0</v>
      </c>
      <c r="DG22" s="350">
        <v>137.98160000000001</v>
      </c>
      <c r="DH22" s="350">
        <v>0</v>
      </c>
      <c r="DI22" s="349">
        <v>74.467300000000009</v>
      </c>
      <c r="DJ22" s="349">
        <v>0</v>
      </c>
      <c r="DK22" s="350">
        <v>121.71310000000001</v>
      </c>
      <c r="DL22" s="350">
        <v>0</v>
      </c>
      <c r="DM22" s="349">
        <v>140.37139999999999</v>
      </c>
      <c r="DN22" s="349">
        <v>0</v>
      </c>
      <c r="DO22" s="350">
        <v>398.85199999999992</v>
      </c>
      <c r="DP22" s="350">
        <v>0</v>
      </c>
    </row>
    <row r="23" spans="1:120" ht="15" customHeight="1" x14ac:dyDescent="0.2">
      <c r="F23" s="352"/>
      <c r="G23" s="352" t="s">
        <v>587</v>
      </c>
      <c r="H23" s="353"/>
      <c r="I23" s="349">
        <v>162.68</v>
      </c>
      <c r="J23" s="349">
        <v>0</v>
      </c>
      <c r="K23" s="350">
        <v>41.034999999999997</v>
      </c>
      <c r="L23" s="350">
        <v>0</v>
      </c>
      <c r="M23" s="349">
        <v>79.767000000000024</v>
      </c>
      <c r="N23" s="349">
        <v>0</v>
      </c>
      <c r="O23" s="350">
        <v>80.66799999999995</v>
      </c>
      <c r="P23" s="350">
        <v>0</v>
      </c>
      <c r="Q23" s="349">
        <v>73.269000000000005</v>
      </c>
      <c r="R23" s="349">
        <v>0</v>
      </c>
      <c r="S23" s="350">
        <v>70.617999999999995</v>
      </c>
      <c r="T23" s="350">
        <v>0</v>
      </c>
      <c r="U23" s="349">
        <v>91.328000000000003</v>
      </c>
      <c r="V23" s="349">
        <v>0</v>
      </c>
      <c r="W23" s="350">
        <v>135.215</v>
      </c>
      <c r="X23" s="350">
        <v>0</v>
      </c>
      <c r="Y23" s="349">
        <v>14.683</v>
      </c>
      <c r="Z23" s="349">
        <v>0</v>
      </c>
      <c r="AA23" s="350">
        <v>38.048999999999999</v>
      </c>
      <c r="AB23" s="350">
        <v>0</v>
      </c>
      <c r="AC23" s="349">
        <v>41.133000000000003</v>
      </c>
      <c r="AD23" s="349">
        <v>0</v>
      </c>
      <c r="AE23" s="350">
        <v>114.099</v>
      </c>
      <c r="AF23" s="350">
        <v>0</v>
      </c>
      <c r="AG23" s="349">
        <v>12.105999999999998</v>
      </c>
      <c r="AH23" s="349">
        <v>0</v>
      </c>
      <c r="AI23" s="350">
        <v>50.107999999999997</v>
      </c>
      <c r="AJ23" s="350">
        <v>0</v>
      </c>
      <c r="AK23" s="349">
        <v>24.434000000000005</v>
      </c>
      <c r="AL23" s="349">
        <v>0</v>
      </c>
      <c r="AM23" s="350">
        <v>39.558999999999997</v>
      </c>
      <c r="AN23" s="350">
        <v>0</v>
      </c>
      <c r="AO23" s="349">
        <v>22.329000000000001</v>
      </c>
      <c r="AP23" s="349">
        <v>0</v>
      </c>
      <c r="AQ23" s="350">
        <v>7.3409999999999993</v>
      </c>
      <c r="AR23" s="350">
        <v>0</v>
      </c>
      <c r="AS23" s="349">
        <v>26.705999999999996</v>
      </c>
      <c r="AT23" s="349">
        <v>0</v>
      </c>
      <c r="AU23" s="350">
        <v>54.576000000000008</v>
      </c>
      <c r="AV23" s="350">
        <v>0</v>
      </c>
      <c r="AW23" s="351">
        <v>24.982999999999997</v>
      </c>
      <c r="AX23" s="351">
        <v>0</v>
      </c>
      <c r="AY23" s="350">
        <v>166.37800000000001</v>
      </c>
      <c r="AZ23" s="350">
        <v>0</v>
      </c>
      <c r="BA23" s="349">
        <v>29.618000000000002</v>
      </c>
      <c r="BB23" s="349">
        <v>0</v>
      </c>
      <c r="BC23" s="350">
        <v>531.64699999999993</v>
      </c>
      <c r="BD23" s="350">
        <v>0</v>
      </c>
      <c r="BE23" s="349">
        <v>295.86699999999985</v>
      </c>
      <c r="BF23" s="349">
        <v>0</v>
      </c>
      <c r="BG23" s="350">
        <v>839.66200000000003</v>
      </c>
      <c r="BH23" s="350">
        <v>0</v>
      </c>
      <c r="BI23" s="349">
        <v>33.111999999999924</v>
      </c>
      <c r="BJ23" s="349">
        <v>0</v>
      </c>
      <c r="BK23" s="350">
        <v>244.97899999999998</v>
      </c>
      <c r="BL23" s="350">
        <v>0</v>
      </c>
      <c r="BM23" s="349">
        <v>29.104999999999997</v>
      </c>
      <c r="BN23" s="349">
        <v>0</v>
      </c>
      <c r="BO23" s="350">
        <v>70.731999999999999</v>
      </c>
      <c r="BP23" s="350">
        <v>0</v>
      </c>
      <c r="BQ23" s="349">
        <v>38.012</v>
      </c>
      <c r="BR23" s="349">
        <v>0</v>
      </c>
      <c r="BS23" s="350">
        <v>78.172999999999988</v>
      </c>
      <c r="BT23" s="350">
        <v>0</v>
      </c>
      <c r="BU23" s="349">
        <v>32.086999999999996</v>
      </c>
      <c r="BV23" s="349">
        <v>0</v>
      </c>
      <c r="BW23" s="350">
        <v>39.902000000000008</v>
      </c>
      <c r="BX23" s="350">
        <v>0</v>
      </c>
      <c r="BY23" s="349">
        <v>23.344999999999999</v>
      </c>
      <c r="BZ23" s="349">
        <v>0</v>
      </c>
      <c r="CA23" s="350">
        <v>21.485000000000003</v>
      </c>
      <c r="CB23" s="350">
        <v>0</v>
      </c>
      <c r="CC23" s="349">
        <v>31.637</v>
      </c>
      <c r="CD23" s="349">
        <v>0</v>
      </c>
      <c r="CE23" s="350">
        <v>49.209999999999994</v>
      </c>
      <c r="CF23" s="350">
        <v>0</v>
      </c>
      <c r="CG23" s="349">
        <v>30.859000000000002</v>
      </c>
      <c r="CH23" s="349">
        <v>0</v>
      </c>
      <c r="CI23" s="350">
        <v>49.99</v>
      </c>
      <c r="CJ23" s="350">
        <v>0</v>
      </c>
      <c r="CK23" s="349">
        <v>23.824999999999996</v>
      </c>
      <c r="CL23" s="349">
        <v>0</v>
      </c>
      <c r="CM23" s="350">
        <v>92.339000000000013</v>
      </c>
      <c r="CN23" s="350">
        <v>0</v>
      </c>
      <c r="CO23" s="349">
        <v>33.124000000000002</v>
      </c>
      <c r="CP23" s="349">
        <v>0</v>
      </c>
      <c r="CQ23" s="350">
        <v>54.541999999999987</v>
      </c>
      <c r="CR23" s="350">
        <v>0</v>
      </c>
      <c r="CS23" s="349">
        <v>64.355999999999995</v>
      </c>
      <c r="CT23" s="349">
        <v>0</v>
      </c>
      <c r="CU23" s="350">
        <v>44.301000000000002</v>
      </c>
      <c r="CV23" s="350">
        <v>0</v>
      </c>
      <c r="CW23" s="349">
        <v>46.991</v>
      </c>
      <c r="CX23" s="349">
        <v>0</v>
      </c>
      <c r="CY23" s="350">
        <v>129.6880000000001</v>
      </c>
      <c r="CZ23" s="350">
        <v>0</v>
      </c>
      <c r="DA23" s="349">
        <v>38.010900000000007</v>
      </c>
      <c r="DB23" s="349">
        <v>0</v>
      </c>
      <c r="DC23" s="350">
        <v>8.4478000000000009</v>
      </c>
      <c r="DD23" s="350">
        <v>0</v>
      </c>
      <c r="DE23" s="349">
        <v>22.031600000000001</v>
      </c>
      <c r="DF23" s="349">
        <v>0</v>
      </c>
      <c r="DG23" s="350">
        <v>13.265599999999999</v>
      </c>
      <c r="DH23" s="350">
        <v>0</v>
      </c>
      <c r="DI23" s="349">
        <v>5.3793000000000006</v>
      </c>
      <c r="DJ23" s="349">
        <v>0</v>
      </c>
      <c r="DK23" s="350">
        <v>36.381100000000004</v>
      </c>
      <c r="DL23" s="350">
        <v>0</v>
      </c>
      <c r="DM23" s="349">
        <v>63.546399999999998</v>
      </c>
      <c r="DN23" s="349">
        <v>0</v>
      </c>
      <c r="DO23" s="350">
        <v>38.561799999999998</v>
      </c>
      <c r="DP23" s="350">
        <v>0</v>
      </c>
    </row>
    <row r="24" spans="1:120" ht="15" customHeight="1" x14ac:dyDescent="0.2">
      <c r="F24" s="352"/>
      <c r="G24" s="352" t="s">
        <v>588</v>
      </c>
      <c r="H24" s="353"/>
      <c r="I24" s="349">
        <v>12.145</v>
      </c>
      <c r="J24" s="349">
        <v>0</v>
      </c>
      <c r="K24" s="350">
        <v>111.71699999999998</v>
      </c>
      <c r="L24" s="350">
        <v>0</v>
      </c>
      <c r="M24" s="349">
        <v>30.518000000000001</v>
      </c>
      <c r="N24" s="349">
        <v>0</v>
      </c>
      <c r="O24" s="350">
        <v>62.990000000000009</v>
      </c>
      <c r="P24" s="350">
        <v>0</v>
      </c>
      <c r="Q24" s="349">
        <v>28.29</v>
      </c>
      <c r="R24" s="349">
        <v>0</v>
      </c>
      <c r="S24" s="350">
        <v>58.469000000000008</v>
      </c>
      <c r="T24" s="350">
        <v>0</v>
      </c>
      <c r="U24" s="349">
        <v>28.576999999999998</v>
      </c>
      <c r="V24" s="349">
        <v>0</v>
      </c>
      <c r="W24" s="350">
        <v>34.237000000000009</v>
      </c>
      <c r="X24" s="350">
        <v>0</v>
      </c>
      <c r="Y24" s="349">
        <v>66.266999999999996</v>
      </c>
      <c r="Z24" s="349">
        <v>0</v>
      </c>
      <c r="AA24" s="350">
        <v>29.030999999999999</v>
      </c>
      <c r="AB24" s="350">
        <v>0</v>
      </c>
      <c r="AC24" s="349">
        <v>101.41400000000002</v>
      </c>
      <c r="AD24" s="349">
        <v>0</v>
      </c>
      <c r="AE24" s="350">
        <v>26.829000000000001</v>
      </c>
      <c r="AF24" s="350">
        <v>0</v>
      </c>
      <c r="AG24" s="349">
        <v>15.295000000000002</v>
      </c>
      <c r="AH24" s="349">
        <v>0</v>
      </c>
      <c r="AI24" s="350">
        <v>33.61</v>
      </c>
      <c r="AJ24" s="350">
        <v>0</v>
      </c>
      <c r="AK24" s="349">
        <v>16.431999999999999</v>
      </c>
      <c r="AL24" s="349">
        <v>0</v>
      </c>
      <c r="AM24" s="350">
        <v>10.971</v>
      </c>
      <c r="AN24" s="350">
        <v>0</v>
      </c>
      <c r="AO24" s="349">
        <v>17.105</v>
      </c>
      <c r="AP24" s="349">
        <v>0</v>
      </c>
      <c r="AQ24" s="350">
        <v>24.03</v>
      </c>
      <c r="AR24" s="350">
        <v>0</v>
      </c>
      <c r="AS24" s="349">
        <v>10.068000000000003</v>
      </c>
      <c r="AT24" s="349">
        <v>0</v>
      </c>
      <c r="AU24" s="350">
        <v>31.541999999999998</v>
      </c>
      <c r="AV24" s="350">
        <v>0</v>
      </c>
      <c r="AW24" s="351">
        <v>30.166999999999994</v>
      </c>
      <c r="AX24" s="351">
        <v>0</v>
      </c>
      <c r="AY24" s="350">
        <v>22.246999999999996</v>
      </c>
      <c r="AZ24" s="350">
        <v>0</v>
      </c>
      <c r="BA24" s="349">
        <v>19.861999999999998</v>
      </c>
      <c r="BB24" s="349">
        <v>0</v>
      </c>
      <c r="BC24" s="350">
        <v>26.344999999999999</v>
      </c>
      <c r="BD24" s="350">
        <v>0</v>
      </c>
      <c r="BE24" s="349">
        <v>24.381</v>
      </c>
      <c r="BF24" s="349">
        <v>0</v>
      </c>
      <c r="BG24" s="350">
        <v>11.605999999999998</v>
      </c>
      <c r="BH24" s="350">
        <v>0</v>
      </c>
      <c r="BI24" s="349">
        <v>33.210999999999999</v>
      </c>
      <c r="BJ24" s="349">
        <v>0</v>
      </c>
      <c r="BK24" s="350">
        <v>20.248999999999995</v>
      </c>
      <c r="BL24" s="350">
        <v>0</v>
      </c>
      <c r="BM24" s="349">
        <v>34.625999999999991</v>
      </c>
      <c r="BN24" s="349">
        <v>0</v>
      </c>
      <c r="BO24" s="350">
        <v>42.74499999999999</v>
      </c>
      <c r="BP24" s="350">
        <v>0</v>
      </c>
      <c r="BQ24" s="349">
        <v>21.254000000000001</v>
      </c>
      <c r="BR24" s="349">
        <v>0</v>
      </c>
      <c r="BS24" s="350">
        <v>16.757200000000005</v>
      </c>
      <c r="BT24" s="350">
        <v>0</v>
      </c>
      <c r="BU24" s="349">
        <v>38.157000000000004</v>
      </c>
      <c r="BV24" s="349">
        <v>0</v>
      </c>
      <c r="BW24" s="350">
        <v>25.239999999999995</v>
      </c>
      <c r="BX24" s="350">
        <v>0</v>
      </c>
      <c r="BY24" s="349">
        <v>21.760999999999996</v>
      </c>
      <c r="BZ24" s="349">
        <v>0</v>
      </c>
      <c r="CA24" s="350">
        <v>20.765000000000008</v>
      </c>
      <c r="CB24" s="350">
        <v>0</v>
      </c>
      <c r="CC24" s="349">
        <v>32.018000000000001</v>
      </c>
      <c r="CD24" s="349">
        <v>0</v>
      </c>
      <c r="CE24" s="350">
        <v>0</v>
      </c>
      <c r="CF24" s="350">
        <v>0</v>
      </c>
      <c r="CG24" s="349">
        <v>67.670999999999992</v>
      </c>
      <c r="CH24" s="349">
        <v>0</v>
      </c>
      <c r="CI24" s="350">
        <v>19.163000000000004</v>
      </c>
      <c r="CJ24" s="350">
        <v>0</v>
      </c>
      <c r="CK24" s="349">
        <v>123.80800000000001</v>
      </c>
      <c r="CL24" s="349">
        <v>0</v>
      </c>
      <c r="CM24" s="350">
        <v>45.110999999999997</v>
      </c>
      <c r="CN24" s="350">
        <v>0</v>
      </c>
      <c r="CO24" s="349">
        <v>144.01300000000001</v>
      </c>
      <c r="CP24" s="349">
        <v>0</v>
      </c>
      <c r="CQ24" s="350">
        <v>51.596000000000004</v>
      </c>
      <c r="CR24" s="350">
        <v>0</v>
      </c>
      <c r="CS24" s="349">
        <v>15.246000000000002</v>
      </c>
      <c r="CT24" s="349">
        <v>0</v>
      </c>
      <c r="CU24" s="350">
        <v>18.826999999999998</v>
      </c>
      <c r="CV24" s="350">
        <v>0</v>
      </c>
      <c r="CW24" s="349">
        <v>20.013000000000002</v>
      </c>
      <c r="CX24" s="349">
        <v>0</v>
      </c>
      <c r="CY24" s="350">
        <v>24.935000000000013</v>
      </c>
      <c r="CZ24" s="350">
        <v>0</v>
      </c>
      <c r="DA24" s="349">
        <v>18.306600000000003</v>
      </c>
      <c r="DB24" s="349">
        <v>0</v>
      </c>
      <c r="DC24" s="350">
        <v>49.745400000000004</v>
      </c>
      <c r="DD24" s="350">
        <v>0</v>
      </c>
      <c r="DE24" s="349">
        <v>-12.297000000000004</v>
      </c>
      <c r="DF24" s="349">
        <v>0</v>
      </c>
      <c r="DG24" s="350">
        <v>124.71600000000001</v>
      </c>
      <c r="DH24" s="350">
        <v>0</v>
      </c>
      <c r="DI24" s="349">
        <v>69.088000000000008</v>
      </c>
      <c r="DJ24" s="349">
        <v>0</v>
      </c>
      <c r="DK24" s="350">
        <v>85.332000000000008</v>
      </c>
      <c r="DL24" s="350">
        <v>0</v>
      </c>
      <c r="DM24" s="349">
        <v>76.825000000000003</v>
      </c>
      <c r="DN24" s="349">
        <v>0</v>
      </c>
      <c r="DO24" s="350">
        <v>360.29019999999991</v>
      </c>
      <c r="DP24" s="350">
        <v>0</v>
      </c>
    </row>
    <row r="25" spans="1:120" ht="15" customHeight="1" x14ac:dyDescent="0.2">
      <c r="F25" s="352"/>
      <c r="G25" s="352"/>
      <c r="H25" s="320" t="s">
        <v>589</v>
      </c>
      <c r="I25" s="349">
        <v>-5.1249902314515134</v>
      </c>
      <c r="J25" s="349"/>
      <c r="K25" s="350">
        <v>-5.1249902314515134</v>
      </c>
      <c r="L25" s="350"/>
      <c r="M25" s="349">
        <v>-5.1249902314515134</v>
      </c>
      <c r="N25" s="349"/>
      <c r="O25" s="350">
        <v>-5.1249902314515134</v>
      </c>
      <c r="P25" s="350"/>
      <c r="Q25" s="349">
        <v>-2.1356850661424856E-2</v>
      </c>
      <c r="R25" s="349"/>
      <c r="S25" s="350">
        <v>-1.0303143160341603</v>
      </c>
      <c r="T25" s="350"/>
      <c r="U25" s="349">
        <v>-0.72054059577946961</v>
      </c>
      <c r="V25" s="349"/>
      <c r="W25" s="350">
        <v>-0.83298406583577655</v>
      </c>
      <c r="X25" s="350"/>
      <c r="Y25" s="349">
        <v>0</v>
      </c>
      <c r="Z25" s="349"/>
      <c r="AA25" s="350">
        <v>-7.4046010052037134</v>
      </c>
      <c r="AB25" s="350"/>
      <c r="AC25" s="349">
        <v>0</v>
      </c>
      <c r="AD25" s="349"/>
      <c r="AE25" s="350">
        <v>0</v>
      </c>
      <c r="AF25" s="350"/>
      <c r="AG25" s="349">
        <v>-1</v>
      </c>
      <c r="AH25" s="349"/>
      <c r="AI25" s="350">
        <v>-27.397433355549374</v>
      </c>
      <c r="AJ25" s="350"/>
      <c r="AK25" s="349">
        <v>-13.099999999999998</v>
      </c>
      <c r="AL25" s="349"/>
      <c r="AM25" s="350">
        <v>-65.694916277518089</v>
      </c>
      <c r="AN25" s="350"/>
      <c r="AO25" s="349">
        <v>-20.033155282633132</v>
      </c>
      <c r="AP25" s="349"/>
      <c r="AQ25" s="350">
        <v>-1.8397277379310346</v>
      </c>
      <c r="AR25" s="350"/>
      <c r="AS25" s="349">
        <v>-3.9842017379310346</v>
      </c>
      <c r="AT25" s="349"/>
      <c r="AU25" s="350">
        <v>-62.509353594710646</v>
      </c>
      <c r="AV25" s="350"/>
      <c r="AW25" s="351">
        <v>-7.1827687005713274</v>
      </c>
      <c r="AX25" s="351"/>
      <c r="AY25" s="350">
        <v>-14.395169365772183</v>
      </c>
      <c r="AZ25" s="350"/>
      <c r="BA25" s="349">
        <v>-9.4596946554470254</v>
      </c>
      <c r="BB25" s="349"/>
      <c r="BC25" s="350">
        <v>-87.97584838233324</v>
      </c>
      <c r="BD25" s="350"/>
      <c r="BE25" s="349">
        <v>-101.45226557713947</v>
      </c>
      <c r="BF25" s="349"/>
      <c r="BG25" s="350">
        <v>-0.46875</v>
      </c>
      <c r="BH25" s="350"/>
      <c r="BI25" s="349">
        <v>-0.46875</v>
      </c>
      <c r="BJ25" s="349"/>
      <c r="BK25" s="350">
        <v>-327.37326355030672</v>
      </c>
      <c r="BL25" s="350"/>
      <c r="BM25" s="349">
        <v>0</v>
      </c>
      <c r="BN25" s="349"/>
      <c r="BO25" s="350">
        <v>-2.1142133502795254E-2</v>
      </c>
      <c r="BP25" s="350"/>
      <c r="BQ25" s="349">
        <v>-0.5</v>
      </c>
      <c r="BR25" s="349"/>
      <c r="BS25" s="350">
        <v>-16.395760990655912</v>
      </c>
      <c r="BT25" s="350"/>
      <c r="BU25" s="349">
        <v>0</v>
      </c>
      <c r="BV25" s="349"/>
      <c r="BW25" s="350">
        <v>0</v>
      </c>
      <c r="BX25" s="350"/>
      <c r="BY25" s="349">
        <v>0</v>
      </c>
      <c r="BZ25" s="349"/>
      <c r="CA25" s="350">
        <v>0</v>
      </c>
      <c r="CB25" s="350"/>
      <c r="CC25" s="349">
        <v>0</v>
      </c>
      <c r="CD25" s="349"/>
      <c r="CE25" s="350">
        <v>0</v>
      </c>
      <c r="CF25" s="350"/>
      <c r="CG25" s="349">
        <v>0</v>
      </c>
      <c r="CH25" s="349"/>
      <c r="CI25" s="350">
        <v>0</v>
      </c>
      <c r="CJ25" s="350"/>
      <c r="CK25" s="349">
        <v>0</v>
      </c>
      <c r="CL25" s="349"/>
      <c r="CM25" s="350">
        <v>0</v>
      </c>
      <c r="CN25" s="350"/>
      <c r="CO25" s="349">
        <v>0</v>
      </c>
      <c r="CP25" s="349"/>
      <c r="CQ25" s="350">
        <v>-0.11048200188198699</v>
      </c>
      <c r="CR25" s="350"/>
      <c r="CS25" s="349">
        <v>0</v>
      </c>
      <c r="CT25" s="349"/>
      <c r="CU25" s="350">
        <v>0</v>
      </c>
      <c r="CV25" s="350"/>
      <c r="CW25" s="349">
        <v>0</v>
      </c>
      <c r="CX25" s="349"/>
      <c r="CY25" s="350">
        <v>0</v>
      </c>
      <c r="CZ25" s="350"/>
      <c r="DA25" s="349">
        <v>0</v>
      </c>
      <c r="DB25" s="349"/>
      <c r="DC25" s="350">
        <v>0</v>
      </c>
      <c r="DD25" s="350"/>
      <c r="DE25" s="349">
        <v>0</v>
      </c>
      <c r="DF25" s="349"/>
      <c r="DG25" s="350">
        <v>0</v>
      </c>
      <c r="DH25" s="350"/>
      <c r="DI25" s="349">
        <v>0</v>
      </c>
      <c r="DJ25" s="349"/>
      <c r="DK25" s="350">
        <v>0</v>
      </c>
      <c r="DL25" s="350"/>
      <c r="DM25" s="349">
        <v>0</v>
      </c>
      <c r="DN25" s="349"/>
      <c r="DO25" s="350">
        <v>0</v>
      </c>
      <c r="DP25" s="350"/>
    </row>
    <row r="26" spans="1:120" ht="15" customHeight="1" x14ac:dyDescent="0.2">
      <c r="A26" s="284"/>
      <c r="F26" s="352"/>
      <c r="G26" s="352" t="s">
        <v>583</v>
      </c>
      <c r="H26" s="353"/>
      <c r="I26" s="349">
        <v>0</v>
      </c>
      <c r="J26" s="349">
        <v>0</v>
      </c>
      <c r="K26" s="350">
        <v>0</v>
      </c>
      <c r="L26" s="350">
        <v>0</v>
      </c>
      <c r="M26" s="349">
        <v>0</v>
      </c>
      <c r="N26" s="349">
        <v>0</v>
      </c>
      <c r="O26" s="350">
        <v>0</v>
      </c>
      <c r="P26" s="350">
        <v>0</v>
      </c>
      <c r="Q26" s="349">
        <v>1.9399859999999998</v>
      </c>
      <c r="R26" s="349">
        <v>0</v>
      </c>
      <c r="S26" s="350">
        <v>1.2275700000000003</v>
      </c>
      <c r="T26" s="350">
        <v>0</v>
      </c>
      <c r="U26" s="349">
        <v>0.42499999999999999</v>
      </c>
      <c r="V26" s="349">
        <v>0</v>
      </c>
      <c r="W26" s="350">
        <v>1.1583897460237993</v>
      </c>
      <c r="X26" s="350">
        <v>0</v>
      </c>
      <c r="Y26" s="349">
        <v>0.92999999999999994</v>
      </c>
      <c r="Z26" s="349">
        <v>0</v>
      </c>
      <c r="AA26" s="350">
        <v>0</v>
      </c>
      <c r="AB26" s="350">
        <v>0</v>
      </c>
      <c r="AC26" s="349">
        <v>0</v>
      </c>
      <c r="AD26" s="349">
        <v>0</v>
      </c>
      <c r="AE26" s="350">
        <v>0</v>
      </c>
      <c r="AF26" s="350">
        <v>0</v>
      </c>
      <c r="AG26" s="349">
        <v>2.6513569720857628</v>
      </c>
      <c r="AH26" s="349">
        <v>0</v>
      </c>
      <c r="AI26" s="350">
        <v>1.4</v>
      </c>
      <c r="AJ26" s="350">
        <v>0</v>
      </c>
      <c r="AK26" s="349">
        <v>2.1079500000000002</v>
      </c>
      <c r="AL26" s="349">
        <v>0</v>
      </c>
      <c r="AM26" s="350">
        <v>139.26535177569301</v>
      </c>
      <c r="AN26" s="350">
        <v>0</v>
      </c>
      <c r="AO26" s="349">
        <v>2.8968439999999998</v>
      </c>
      <c r="AP26" s="349">
        <v>0</v>
      </c>
      <c r="AQ26" s="350">
        <v>0.48</v>
      </c>
      <c r="AR26" s="350">
        <v>0</v>
      </c>
      <c r="AS26" s="349">
        <v>1.5</v>
      </c>
      <c r="AT26" s="349">
        <v>0</v>
      </c>
      <c r="AU26" s="350">
        <v>77.203423999999998</v>
      </c>
      <c r="AV26" s="350">
        <v>0</v>
      </c>
      <c r="AW26" s="351">
        <v>22.553416481009961</v>
      </c>
      <c r="AX26" s="351">
        <v>0</v>
      </c>
      <c r="AY26" s="350">
        <v>21.147196236252164</v>
      </c>
      <c r="AZ26" s="350">
        <v>0</v>
      </c>
      <c r="BA26" s="349">
        <v>14.142525458302103</v>
      </c>
      <c r="BB26" s="349">
        <v>0</v>
      </c>
      <c r="BC26" s="350">
        <v>50.383193397273516</v>
      </c>
      <c r="BD26" s="350">
        <v>0</v>
      </c>
      <c r="BE26" s="349">
        <v>1.4936135771394734</v>
      </c>
      <c r="BF26" s="349">
        <v>0</v>
      </c>
      <c r="BG26" s="350">
        <v>0.50480999999999998</v>
      </c>
      <c r="BH26" s="350">
        <v>0</v>
      </c>
      <c r="BI26" s="349">
        <v>0.48985600000000001</v>
      </c>
      <c r="BJ26" s="349">
        <v>0</v>
      </c>
      <c r="BK26" s="350">
        <v>75.496649502773522</v>
      </c>
      <c r="BL26" s="350">
        <v>0</v>
      </c>
      <c r="BM26" s="349">
        <v>29.91525080131273</v>
      </c>
      <c r="BN26" s="349">
        <v>0</v>
      </c>
      <c r="BO26" s="350">
        <v>-0.15483118655964906</v>
      </c>
      <c r="BP26" s="350">
        <v>0</v>
      </c>
      <c r="BQ26" s="349">
        <v>-0.15146296125057707</v>
      </c>
      <c r="BR26" s="349">
        <v>0</v>
      </c>
      <c r="BS26" s="350">
        <v>29.85622613374327</v>
      </c>
      <c r="BT26" s="350">
        <v>0</v>
      </c>
      <c r="BU26" s="349">
        <v>0</v>
      </c>
      <c r="BV26" s="349">
        <v>0</v>
      </c>
      <c r="BW26" s="350">
        <v>0</v>
      </c>
      <c r="BX26" s="350">
        <v>0</v>
      </c>
      <c r="BY26" s="349">
        <v>0</v>
      </c>
      <c r="BZ26" s="349">
        <v>0</v>
      </c>
      <c r="CA26" s="350">
        <v>0</v>
      </c>
      <c r="CB26" s="350">
        <v>0</v>
      </c>
      <c r="CC26" s="349">
        <v>0</v>
      </c>
      <c r="CD26" s="349">
        <v>0</v>
      </c>
      <c r="CE26" s="350">
        <v>0</v>
      </c>
      <c r="CF26" s="350">
        <v>0</v>
      </c>
      <c r="CG26" s="349">
        <v>0</v>
      </c>
      <c r="CH26" s="349">
        <v>0</v>
      </c>
      <c r="CI26" s="350">
        <v>0</v>
      </c>
      <c r="CJ26" s="350">
        <v>0</v>
      </c>
      <c r="CK26" s="349">
        <v>0</v>
      </c>
      <c r="CL26" s="349">
        <v>0</v>
      </c>
      <c r="CM26" s="350">
        <v>0</v>
      </c>
      <c r="CN26" s="350">
        <v>0</v>
      </c>
      <c r="CO26" s="349">
        <v>0</v>
      </c>
      <c r="CP26" s="349">
        <v>0</v>
      </c>
      <c r="CQ26" s="350">
        <v>0</v>
      </c>
      <c r="CR26" s="350">
        <v>0</v>
      </c>
      <c r="CS26" s="349">
        <v>0</v>
      </c>
      <c r="CT26" s="349">
        <v>0</v>
      </c>
      <c r="CU26" s="350">
        <v>0</v>
      </c>
      <c r="CV26" s="350">
        <v>0</v>
      </c>
      <c r="CW26" s="349">
        <v>0</v>
      </c>
      <c r="CX26" s="349">
        <v>0</v>
      </c>
      <c r="CY26" s="350">
        <v>0</v>
      </c>
      <c r="CZ26" s="350">
        <v>0</v>
      </c>
      <c r="DA26" s="349">
        <v>0</v>
      </c>
      <c r="DB26" s="349">
        <v>0</v>
      </c>
      <c r="DC26" s="350">
        <v>0</v>
      </c>
      <c r="DD26" s="350">
        <v>0</v>
      </c>
      <c r="DE26" s="349">
        <v>0</v>
      </c>
      <c r="DF26" s="349">
        <v>0</v>
      </c>
      <c r="DG26" s="350">
        <v>0</v>
      </c>
      <c r="DH26" s="350">
        <v>0</v>
      </c>
      <c r="DI26" s="349">
        <v>0</v>
      </c>
      <c r="DJ26" s="349">
        <v>0</v>
      </c>
      <c r="DK26" s="350">
        <v>0</v>
      </c>
      <c r="DL26" s="350">
        <v>0</v>
      </c>
      <c r="DM26" s="349">
        <v>0</v>
      </c>
      <c r="DN26" s="349">
        <v>0</v>
      </c>
      <c r="DO26" s="350">
        <v>0</v>
      </c>
      <c r="DP26" s="350">
        <v>0</v>
      </c>
    </row>
    <row r="27" spans="1:120" ht="15" customHeight="1" x14ac:dyDescent="0.2">
      <c r="A27" s="284"/>
      <c r="F27" s="352"/>
      <c r="G27" s="352" t="s">
        <v>584</v>
      </c>
      <c r="H27" s="353"/>
      <c r="I27" s="349">
        <v>0</v>
      </c>
      <c r="J27" s="349">
        <v>0</v>
      </c>
      <c r="K27" s="350">
        <v>0</v>
      </c>
      <c r="L27" s="350">
        <v>0</v>
      </c>
      <c r="M27" s="349">
        <v>0</v>
      </c>
      <c r="N27" s="349">
        <v>0</v>
      </c>
      <c r="O27" s="350">
        <v>0</v>
      </c>
      <c r="P27" s="350">
        <v>0</v>
      </c>
      <c r="Q27" s="349">
        <v>0</v>
      </c>
      <c r="R27" s="349">
        <v>0</v>
      </c>
      <c r="S27" s="350">
        <v>0</v>
      </c>
      <c r="T27" s="350">
        <v>0</v>
      </c>
      <c r="U27" s="349">
        <v>0</v>
      </c>
      <c r="V27" s="349">
        <v>0</v>
      </c>
      <c r="W27" s="350">
        <v>0</v>
      </c>
      <c r="X27" s="350">
        <v>0</v>
      </c>
      <c r="Y27" s="349">
        <v>0</v>
      </c>
      <c r="Z27" s="349">
        <v>0</v>
      </c>
      <c r="AA27" s="350">
        <v>0</v>
      </c>
      <c r="AB27" s="350">
        <v>0</v>
      </c>
      <c r="AC27" s="349">
        <v>0</v>
      </c>
      <c r="AD27" s="349">
        <v>0</v>
      </c>
      <c r="AE27" s="350">
        <v>0</v>
      </c>
      <c r="AF27" s="350">
        <v>0</v>
      </c>
      <c r="AG27" s="349">
        <v>0</v>
      </c>
      <c r="AH27" s="349">
        <v>0</v>
      </c>
      <c r="AI27" s="350">
        <v>0</v>
      </c>
      <c r="AJ27" s="350">
        <v>0</v>
      </c>
      <c r="AK27" s="349">
        <v>0</v>
      </c>
      <c r="AL27" s="349">
        <v>0</v>
      </c>
      <c r="AM27" s="350">
        <v>0</v>
      </c>
      <c r="AN27" s="350">
        <v>0</v>
      </c>
      <c r="AO27" s="349">
        <v>0</v>
      </c>
      <c r="AP27" s="349">
        <v>0</v>
      </c>
      <c r="AQ27" s="350">
        <v>0</v>
      </c>
      <c r="AR27" s="350">
        <v>0</v>
      </c>
      <c r="AS27" s="349">
        <v>0</v>
      </c>
      <c r="AT27" s="349">
        <v>0</v>
      </c>
      <c r="AU27" s="350">
        <v>0</v>
      </c>
      <c r="AV27" s="350">
        <v>0</v>
      </c>
      <c r="AW27" s="351">
        <v>0</v>
      </c>
      <c r="AX27" s="351">
        <v>0</v>
      </c>
      <c r="AY27" s="350">
        <v>0</v>
      </c>
      <c r="AZ27" s="350">
        <v>0</v>
      </c>
      <c r="BA27" s="349">
        <v>0</v>
      </c>
      <c r="BB27" s="349">
        <v>0</v>
      </c>
      <c r="BC27" s="350">
        <v>0</v>
      </c>
      <c r="BD27" s="350">
        <v>0</v>
      </c>
      <c r="BE27" s="349">
        <v>0</v>
      </c>
      <c r="BF27" s="349">
        <v>0</v>
      </c>
      <c r="BG27" s="350">
        <v>0</v>
      </c>
      <c r="BH27" s="350">
        <v>0</v>
      </c>
      <c r="BI27" s="349">
        <v>0</v>
      </c>
      <c r="BJ27" s="349">
        <v>0</v>
      </c>
      <c r="BK27" s="350">
        <v>0</v>
      </c>
      <c r="BL27" s="350">
        <v>0</v>
      </c>
      <c r="BM27" s="349">
        <v>0</v>
      </c>
      <c r="BN27" s="349">
        <v>0</v>
      </c>
      <c r="BO27" s="350">
        <v>0</v>
      </c>
      <c r="BP27" s="350">
        <v>0</v>
      </c>
      <c r="BQ27" s="349">
        <v>0</v>
      </c>
      <c r="BR27" s="349">
        <v>0</v>
      </c>
      <c r="BS27" s="350">
        <v>0</v>
      </c>
      <c r="BT27" s="350">
        <v>0</v>
      </c>
      <c r="BU27" s="349">
        <v>0</v>
      </c>
      <c r="BV27" s="349">
        <v>0</v>
      </c>
      <c r="BW27" s="350">
        <v>0</v>
      </c>
      <c r="BX27" s="350">
        <v>0</v>
      </c>
      <c r="BY27" s="349">
        <v>0</v>
      </c>
      <c r="BZ27" s="349">
        <v>0</v>
      </c>
      <c r="CA27" s="350">
        <v>0</v>
      </c>
      <c r="CB27" s="350">
        <v>0</v>
      </c>
      <c r="CC27" s="349">
        <v>0</v>
      </c>
      <c r="CD27" s="349">
        <v>0</v>
      </c>
      <c r="CE27" s="350">
        <v>0</v>
      </c>
      <c r="CF27" s="350">
        <v>0</v>
      </c>
      <c r="CG27" s="349">
        <v>0</v>
      </c>
      <c r="CH27" s="349">
        <v>0</v>
      </c>
      <c r="CI27" s="350">
        <v>0</v>
      </c>
      <c r="CJ27" s="350">
        <v>0</v>
      </c>
      <c r="CK27" s="349">
        <v>0</v>
      </c>
      <c r="CL27" s="349">
        <v>0</v>
      </c>
      <c r="CM27" s="350">
        <v>0</v>
      </c>
      <c r="CN27" s="350">
        <v>0</v>
      </c>
      <c r="CO27" s="349">
        <v>6.337769681227428</v>
      </c>
      <c r="CP27" s="349">
        <v>0</v>
      </c>
      <c r="CQ27" s="350">
        <v>35.056111109999996</v>
      </c>
      <c r="CR27" s="350">
        <v>0</v>
      </c>
      <c r="CS27" s="349">
        <v>0</v>
      </c>
      <c r="CT27" s="349">
        <v>0</v>
      </c>
      <c r="CU27" s="350">
        <v>0</v>
      </c>
      <c r="CV27" s="350">
        <v>0</v>
      </c>
      <c r="CW27" s="349">
        <v>0</v>
      </c>
      <c r="CX27" s="349">
        <v>0</v>
      </c>
      <c r="CY27" s="350">
        <v>-148.04423704500002</v>
      </c>
      <c r="CZ27" s="350">
        <v>0</v>
      </c>
      <c r="DA27" s="349">
        <v>0</v>
      </c>
      <c r="DB27" s="349">
        <v>0</v>
      </c>
      <c r="DC27" s="350">
        <v>0</v>
      </c>
      <c r="DD27" s="350">
        <v>0</v>
      </c>
      <c r="DE27" s="349">
        <v>0</v>
      </c>
      <c r="DF27" s="349">
        <v>0</v>
      </c>
      <c r="DG27" s="350">
        <v>0</v>
      </c>
      <c r="DH27" s="350">
        <v>0</v>
      </c>
      <c r="DI27" s="349">
        <v>-43.068027427320075</v>
      </c>
      <c r="DJ27" s="349">
        <v>0</v>
      </c>
      <c r="DK27" s="350">
        <v>0</v>
      </c>
      <c r="DL27" s="350">
        <v>0</v>
      </c>
      <c r="DM27" s="349">
        <v>0</v>
      </c>
      <c r="DN27" s="349">
        <v>0</v>
      </c>
      <c r="DO27" s="350">
        <v>0</v>
      </c>
      <c r="DP27" s="350">
        <v>0</v>
      </c>
    </row>
    <row r="28" spans="1:120" ht="15" customHeight="1" x14ac:dyDescent="0.2">
      <c r="A28" s="284"/>
      <c r="F28" s="352"/>
      <c r="G28" s="352"/>
      <c r="H28" s="353"/>
      <c r="I28" s="349"/>
      <c r="J28" s="349"/>
      <c r="K28" s="350"/>
      <c r="L28" s="350"/>
      <c r="M28" s="349"/>
      <c r="N28" s="349"/>
      <c r="O28" s="350"/>
      <c r="P28" s="350"/>
      <c r="Q28" s="349"/>
      <c r="R28" s="349"/>
      <c r="S28" s="350"/>
      <c r="T28" s="350"/>
      <c r="U28" s="349"/>
      <c r="V28" s="349"/>
      <c r="W28" s="350"/>
      <c r="X28" s="350"/>
      <c r="Y28" s="349"/>
      <c r="Z28" s="349"/>
      <c r="AA28" s="350"/>
      <c r="AB28" s="350"/>
      <c r="AC28" s="349"/>
      <c r="AD28" s="349"/>
      <c r="AE28" s="350"/>
      <c r="AF28" s="350"/>
      <c r="AG28" s="349"/>
      <c r="AH28" s="349"/>
      <c r="AI28" s="350"/>
      <c r="AJ28" s="350"/>
      <c r="AK28" s="349"/>
      <c r="AL28" s="349"/>
      <c r="AM28" s="350"/>
      <c r="AN28" s="350"/>
      <c r="AO28" s="349"/>
      <c r="AP28" s="349"/>
      <c r="AQ28" s="350"/>
      <c r="AR28" s="350"/>
      <c r="AS28" s="349"/>
      <c r="AT28" s="349"/>
      <c r="AU28" s="350"/>
      <c r="AV28" s="350"/>
      <c r="AW28" s="351"/>
      <c r="AX28" s="351"/>
      <c r="AY28" s="350"/>
      <c r="AZ28" s="350"/>
      <c r="BA28" s="349"/>
      <c r="BB28" s="349"/>
      <c r="BC28" s="350"/>
      <c r="BD28" s="350"/>
      <c r="BE28" s="349"/>
      <c r="BF28" s="349"/>
      <c r="BG28" s="350"/>
      <c r="BH28" s="350"/>
      <c r="BI28" s="349"/>
      <c r="BJ28" s="349"/>
      <c r="BK28" s="350"/>
      <c r="BL28" s="350"/>
      <c r="BM28" s="349"/>
      <c r="BN28" s="349"/>
      <c r="BO28" s="350"/>
      <c r="BP28" s="350"/>
      <c r="BQ28" s="349"/>
      <c r="BR28" s="349"/>
      <c r="BS28" s="350"/>
      <c r="BT28" s="350"/>
      <c r="BU28" s="349"/>
      <c r="BV28" s="349"/>
      <c r="BW28" s="350"/>
      <c r="BX28" s="350"/>
      <c r="BY28" s="349"/>
      <c r="BZ28" s="349"/>
      <c r="CA28" s="350"/>
      <c r="CB28" s="350"/>
      <c r="CC28" s="349"/>
      <c r="CD28" s="349"/>
      <c r="CE28" s="350"/>
      <c r="CF28" s="350"/>
      <c r="CG28" s="349"/>
      <c r="CH28" s="349"/>
      <c r="CI28" s="350"/>
      <c r="CJ28" s="350"/>
      <c r="CK28" s="349"/>
      <c r="CL28" s="349"/>
      <c r="CM28" s="350"/>
      <c r="CN28" s="350"/>
      <c r="CO28" s="349"/>
      <c r="CP28" s="349"/>
      <c r="CQ28" s="350"/>
      <c r="CR28" s="350"/>
      <c r="CS28" s="349"/>
      <c r="CT28" s="349"/>
      <c r="CU28" s="350"/>
      <c r="CV28" s="350"/>
      <c r="CW28" s="349"/>
      <c r="CX28" s="349"/>
      <c r="CY28" s="350"/>
      <c r="CZ28" s="350"/>
      <c r="DA28" s="349"/>
      <c r="DB28" s="349"/>
      <c r="DC28" s="350"/>
      <c r="DD28" s="350"/>
      <c r="DE28" s="349"/>
      <c r="DF28" s="349"/>
      <c r="DG28" s="350"/>
      <c r="DH28" s="350"/>
      <c r="DI28" s="349"/>
      <c r="DJ28" s="349"/>
      <c r="DK28" s="350"/>
      <c r="DL28" s="350"/>
      <c r="DM28" s="349"/>
      <c r="DN28" s="349"/>
      <c r="DO28" s="350"/>
      <c r="DP28" s="350"/>
    </row>
    <row r="29" spans="1:120" s="338" customFormat="1" ht="15" customHeight="1" x14ac:dyDescent="0.2">
      <c r="A29" s="284"/>
      <c r="D29" s="338" t="s">
        <v>590</v>
      </c>
      <c r="H29" s="339"/>
      <c r="I29" s="344">
        <v>562.43980248430489</v>
      </c>
      <c r="J29" s="344">
        <v>5.4235023426958406E-2</v>
      </c>
      <c r="K29" s="345">
        <v>548.95524296094652</v>
      </c>
      <c r="L29" s="345">
        <v>-7.3194102673088679E-3</v>
      </c>
      <c r="M29" s="344">
        <v>1434.50780810579</v>
      </c>
      <c r="N29" s="344">
        <v>-5.813614078687479E-2</v>
      </c>
      <c r="O29" s="345">
        <v>-430.22475703905337</v>
      </c>
      <c r="P29" s="345">
        <v>-9.9754275380573301</v>
      </c>
      <c r="Q29" s="344">
        <v>579.31754182327654</v>
      </c>
      <c r="R29" s="344">
        <v>-1.3945830020512529E-3</v>
      </c>
      <c r="S29" s="345">
        <v>702.10180486481647</v>
      </c>
      <c r="T29" s="345">
        <v>9.4172179803182026</v>
      </c>
      <c r="U29" s="344">
        <v>609.90153498786719</v>
      </c>
      <c r="V29" s="344">
        <v>-9.2566296999229927</v>
      </c>
      <c r="W29" s="345">
        <v>177.12581915793174</v>
      </c>
      <c r="X29" s="345">
        <v>-0.14694460790848479</v>
      </c>
      <c r="Y29" s="344">
        <v>1044.5266678246667</v>
      </c>
      <c r="Z29" s="344">
        <v>1.2865075204382403E-4</v>
      </c>
      <c r="AA29" s="345">
        <v>922.89902021317323</v>
      </c>
      <c r="AB29" s="345">
        <v>-1.2856257569526797E-5</v>
      </c>
      <c r="AC29" s="344">
        <v>103.22204931227833</v>
      </c>
      <c r="AD29" s="344">
        <v>1.4592336642213488E-3</v>
      </c>
      <c r="AE29" s="345">
        <v>-5.6104457773769525</v>
      </c>
      <c r="AF29" s="345">
        <v>-0.2218047865516799</v>
      </c>
      <c r="AG29" s="344">
        <v>-478.99706646720904</v>
      </c>
      <c r="AH29" s="344">
        <v>3.1031446395419632E-3</v>
      </c>
      <c r="AI29" s="345">
        <v>609.06524837546795</v>
      </c>
      <c r="AJ29" s="345">
        <v>3.6858104715418727E-3</v>
      </c>
      <c r="AK29" s="344">
        <v>-756.02360291157856</v>
      </c>
      <c r="AL29" s="344">
        <v>1.1525649386479001E-2</v>
      </c>
      <c r="AM29" s="345">
        <v>1312.3995762863326</v>
      </c>
      <c r="AN29" s="345">
        <v>4.3689108911441066E-3</v>
      </c>
      <c r="AO29" s="344">
        <v>-566.87753434307228</v>
      </c>
      <c r="AP29" s="344">
        <v>-1.0999331307741986E-2</v>
      </c>
      <c r="AQ29" s="345">
        <v>-55.627589641638764</v>
      </c>
      <c r="AR29" s="345">
        <v>-2.295905434903503E-3</v>
      </c>
      <c r="AS29" s="344">
        <v>1943.0191820290968</v>
      </c>
      <c r="AT29" s="344">
        <v>5.3586500112903779E-5</v>
      </c>
      <c r="AU29" s="345">
        <v>-327.52300746827387</v>
      </c>
      <c r="AV29" s="345">
        <v>8.2255471399211716E-3</v>
      </c>
      <c r="AW29" s="346">
        <v>-311.55215251631796</v>
      </c>
      <c r="AX29" s="346">
        <v>0</v>
      </c>
      <c r="AY29" s="345">
        <v>1383.1001002578294</v>
      </c>
      <c r="AZ29" s="345">
        <v>0</v>
      </c>
      <c r="BA29" s="344">
        <v>480.55100357769294</v>
      </c>
      <c r="BB29" s="344">
        <v>-6.3380962476085323E-4</v>
      </c>
      <c r="BC29" s="345">
        <v>219.39490086274287</v>
      </c>
      <c r="BD29" s="345">
        <v>-8.4958272234622892E-2</v>
      </c>
      <c r="BE29" s="344">
        <v>89.692220148722697</v>
      </c>
      <c r="BF29" s="344">
        <v>0</v>
      </c>
      <c r="BG29" s="345">
        <v>1884.4175481185443</v>
      </c>
      <c r="BH29" s="345">
        <v>0</v>
      </c>
      <c r="BI29" s="344">
        <v>-1083.8627681862547</v>
      </c>
      <c r="BJ29" s="344">
        <v>0</v>
      </c>
      <c r="BK29" s="345">
        <v>-761.10883298146916</v>
      </c>
      <c r="BL29" s="345">
        <v>0</v>
      </c>
      <c r="BM29" s="344">
        <v>1438.4133386807159</v>
      </c>
      <c r="BN29" s="344">
        <v>0</v>
      </c>
      <c r="BO29" s="345">
        <v>1376.2618123552832</v>
      </c>
      <c r="BP29" s="345">
        <v>0</v>
      </c>
      <c r="BQ29" s="344">
        <v>-410.15955963105569</v>
      </c>
      <c r="BR29" s="344">
        <v>0</v>
      </c>
      <c r="BS29" s="345">
        <v>-91.434458722371687</v>
      </c>
      <c r="BT29" s="345">
        <v>0</v>
      </c>
      <c r="BU29" s="344">
        <v>-517.19291138947028</v>
      </c>
      <c r="BV29" s="344">
        <v>0</v>
      </c>
      <c r="BW29" s="345">
        <v>-254.23575731986097</v>
      </c>
      <c r="BX29" s="345">
        <v>0</v>
      </c>
      <c r="BY29" s="344">
        <v>-462.27759672676422</v>
      </c>
      <c r="BZ29" s="344">
        <v>0</v>
      </c>
      <c r="CA29" s="345">
        <v>-1149.3926170857071</v>
      </c>
      <c r="CB29" s="345">
        <v>0</v>
      </c>
      <c r="CC29" s="344">
        <v>-742.21275075303095</v>
      </c>
      <c r="CD29" s="344">
        <v>0</v>
      </c>
      <c r="CE29" s="345">
        <v>2.0254817153692528</v>
      </c>
      <c r="CF29" s="345">
        <v>0</v>
      </c>
      <c r="CG29" s="344">
        <v>-794.20562555674542</v>
      </c>
      <c r="CH29" s="344">
        <v>0</v>
      </c>
      <c r="CI29" s="345">
        <v>-13.01407436337033</v>
      </c>
      <c r="CJ29" s="345">
        <v>0</v>
      </c>
      <c r="CK29" s="344">
        <v>-250.45352298814856</v>
      </c>
      <c r="CL29" s="344">
        <v>0</v>
      </c>
      <c r="CM29" s="345">
        <v>192.63110559128754</v>
      </c>
      <c r="CN29" s="345">
        <v>0</v>
      </c>
      <c r="CO29" s="344">
        <v>213.49518401695713</v>
      </c>
      <c r="CP29" s="344">
        <v>0</v>
      </c>
      <c r="CQ29" s="345">
        <v>213.9596537825019</v>
      </c>
      <c r="CR29" s="345">
        <v>0</v>
      </c>
      <c r="CS29" s="344">
        <v>291.7093531498499</v>
      </c>
      <c r="CT29" s="344">
        <v>0</v>
      </c>
      <c r="CU29" s="345">
        <v>509.81242299160391</v>
      </c>
      <c r="CV29" s="345">
        <v>0</v>
      </c>
      <c r="CW29" s="344">
        <v>84.620228418049336</v>
      </c>
      <c r="CX29" s="344">
        <v>2.0739500003515154E-4</v>
      </c>
      <c r="CY29" s="345">
        <v>45.13265959057437</v>
      </c>
      <c r="CZ29" s="345">
        <v>173.43281988863242</v>
      </c>
      <c r="DA29" s="344">
        <v>76.086612949778399</v>
      </c>
      <c r="DB29" s="344">
        <v>93.145631268609691</v>
      </c>
      <c r="DC29" s="345">
        <v>108.20659793538339</v>
      </c>
      <c r="DD29" s="345">
        <v>65.377519556375375</v>
      </c>
      <c r="DE29" s="344">
        <v>146.65097422407479</v>
      </c>
      <c r="DF29" s="344">
        <v>197.74299823680519</v>
      </c>
      <c r="DG29" s="345">
        <v>-29.266009016579297</v>
      </c>
      <c r="DH29" s="345">
        <v>-176.33231846366758</v>
      </c>
      <c r="DI29" s="344">
        <v>12.114721921314015</v>
      </c>
      <c r="DJ29" s="344">
        <v>-71.201445647194987</v>
      </c>
      <c r="DK29" s="345">
        <v>-298.45527550607392</v>
      </c>
      <c r="DL29" s="345">
        <v>311.34505526427705</v>
      </c>
      <c r="DM29" s="344">
        <v>11.314256527308601</v>
      </c>
      <c r="DN29" s="344">
        <v>-399.15575247209</v>
      </c>
      <c r="DO29" s="345">
        <v>8.0294970973694291</v>
      </c>
      <c r="DP29" s="345">
        <v>-99.795558006849632</v>
      </c>
    </row>
    <row r="30" spans="1:120" ht="15" customHeight="1" x14ac:dyDescent="0.2">
      <c r="A30" s="284"/>
      <c r="E30" s="347" t="s">
        <v>579</v>
      </c>
      <c r="I30" s="349">
        <v>155.97524296094659</v>
      </c>
      <c r="J30" s="349">
        <v>0</v>
      </c>
      <c r="K30" s="350">
        <v>14.155242960946589</v>
      </c>
      <c r="L30" s="350">
        <v>0</v>
      </c>
      <c r="M30" s="349">
        <v>55.045242960946581</v>
      </c>
      <c r="N30" s="349">
        <v>0</v>
      </c>
      <c r="O30" s="350">
        <v>47.175242960946591</v>
      </c>
      <c r="P30" s="350">
        <v>0</v>
      </c>
      <c r="Q30" s="349">
        <v>44.49529929477162</v>
      </c>
      <c r="R30" s="349">
        <v>0</v>
      </c>
      <c r="S30" s="350">
        <v>72.567064307647314</v>
      </c>
      <c r="T30" s="350">
        <v>0</v>
      </c>
      <c r="U30" s="349">
        <v>39.310975795489767</v>
      </c>
      <c r="V30" s="349">
        <v>0</v>
      </c>
      <c r="W30" s="350">
        <v>69.307207866239708</v>
      </c>
      <c r="X30" s="350">
        <v>0</v>
      </c>
      <c r="Y30" s="349">
        <v>-48.362509666983371</v>
      </c>
      <c r="Z30" s="349">
        <v>0</v>
      </c>
      <c r="AA30" s="350">
        <v>144.30469890368843</v>
      </c>
      <c r="AB30" s="350">
        <v>0</v>
      </c>
      <c r="AC30" s="349">
        <v>-50.584620888735223</v>
      </c>
      <c r="AD30" s="349">
        <v>0</v>
      </c>
      <c r="AE30" s="350">
        <v>132.70380507751344</v>
      </c>
      <c r="AF30" s="350">
        <v>0</v>
      </c>
      <c r="AG30" s="349">
        <v>20.39364141332414</v>
      </c>
      <c r="AH30" s="349">
        <v>0</v>
      </c>
      <c r="AI30" s="350">
        <v>-27.032470180255253</v>
      </c>
      <c r="AJ30" s="350">
        <v>0</v>
      </c>
      <c r="AK30" s="349">
        <v>-39.07962338824008</v>
      </c>
      <c r="AL30" s="349">
        <v>0</v>
      </c>
      <c r="AM30" s="350">
        <v>-14.404648747309864</v>
      </c>
      <c r="AN30" s="350">
        <v>0</v>
      </c>
      <c r="AO30" s="349">
        <v>-2.8628256465257742</v>
      </c>
      <c r="AP30" s="349">
        <v>0</v>
      </c>
      <c r="AQ30" s="350">
        <v>-41.741439003009731</v>
      </c>
      <c r="AR30" s="350">
        <v>0</v>
      </c>
      <c r="AS30" s="349">
        <v>24.245689325336421</v>
      </c>
      <c r="AT30" s="349">
        <v>0</v>
      </c>
      <c r="AU30" s="350">
        <v>44.727351565875459</v>
      </c>
      <c r="AV30" s="350">
        <v>0</v>
      </c>
      <c r="AW30" s="351">
        <v>103.51898744500204</v>
      </c>
      <c r="AX30" s="351">
        <v>0</v>
      </c>
      <c r="AY30" s="350">
        <v>148.73679556660028</v>
      </c>
      <c r="AZ30" s="350">
        <v>0</v>
      </c>
      <c r="BA30" s="349">
        <v>94.595219328894373</v>
      </c>
      <c r="BB30" s="349">
        <v>0</v>
      </c>
      <c r="BC30" s="350">
        <v>11.787654319652027</v>
      </c>
      <c r="BD30" s="350">
        <v>0</v>
      </c>
      <c r="BE30" s="349">
        <v>116.0038130760761</v>
      </c>
      <c r="BF30" s="349">
        <v>0</v>
      </c>
      <c r="BG30" s="350">
        <v>34.281877366726775</v>
      </c>
      <c r="BH30" s="350">
        <v>0</v>
      </c>
      <c r="BI30" s="349">
        <v>-15.841404175041312</v>
      </c>
      <c r="BJ30" s="349">
        <v>0</v>
      </c>
      <c r="BK30" s="350">
        <v>-138.84536679410391</v>
      </c>
      <c r="BL30" s="350">
        <v>0</v>
      </c>
      <c r="BM30" s="349">
        <v>-13.525045916623473</v>
      </c>
      <c r="BN30" s="349">
        <v>0</v>
      </c>
      <c r="BO30" s="350">
        <v>23.01960913509939</v>
      </c>
      <c r="BP30" s="350">
        <v>0</v>
      </c>
      <c r="BQ30" s="349">
        <v>35.332526701519782</v>
      </c>
      <c r="BR30" s="349">
        <v>0</v>
      </c>
      <c r="BS30" s="350">
        <v>-49.194841450960823</v>
      </c>
      <c r="BT30" s="350">
        <v>0</v>
      </c>
      <c r="BU30" s="349">
        <v>-16.437626451177195</v>
      </c>
      <c r="BV30" s="349">
        <v>0</v>
      </c>
      <c r="BW30" s="350">
        <v>-86.270250205801176</v>
      </c>
      <c r="BX30" s="350">
        <v>0</v>
      </c>
      <c r="BY30" s="349">
        <v>-103.32472960142995</v>
      </c>
      <c r="BZ30" s="349">
        <v>0</v>
      </c>
      <c r="CA30" s="350">
        <v>-10.709203638118977</v>
      </c>
      <c r="CB30" s="350">
        <v>0</v>
      </c>
      <c r="CC30" s="349">
        <v>-97.517369334028174</v>
      </c>
      <c r="CD30" s="349">
        <v>0</v>
      </c>
      <c r="CE30" s="350">
        <v>-34.829660722014516</v>
      </c>
      <c r="CF30" s="350">
        <v>0</v>
      </c>
      <c r="CG30" s="349">
        <v>-86.748251314843571</v>
      </c>
      <c r="CH30" s="349">
        <v>0</v>
      </c>
      <c r="CI30" s="350">
        <v>-13.120972578702894</v>
      </c>
      <c r="CJ30" s="350">
        <v>0</v>
      </c>
      <c r="CK30" s="349">
        <v>137.24859313177848</v>
      </c>
      <c r="CL30" s="349">
        <v>0</v>
      </c>
      <c r="CM30" s="350">
        <v>1.6695369756395686</v>
      </c>
      <c r="CN30" s="350">
        <v>0</v>
      </c>
      <c r="CO30" s="349">
        <v>-1.6476085800373035</v>
      </c>
      <c r="CP30" s="349">
        <v>0</v>
      </c>
      <c r="CQ30" s="350">
        <v>13.902625644160509</v>
      </c>
      <c r="CR30" s="350">
        <v>0</v>
      </c>
      <c r="CS30" s="349">
        <v>3.9134075597789622</v>
      </c>
      <c r="CT30" s="349">
        <v>0</v>
      </c>
      <c r="CU30" s="350">
        <v>0.87619784971806602</v>
      </c>
      <c r="CV30" s="350">
        <v>0</v>
      </c>
      <c r="CW30" s="349">
        <v>4.6052417427537646</v>
      </c>
      <c r="CX30" s="349">
        <v>0</v>
      </c>
      <c r="CY30" s="350">
        <v>-1.3056072752139487</v>
      </c>
      <c r="CZ30" s="350">
        <v>0</v>
      </c>
      <c r="DA30" s="349">
        <v>-13.965963958818165</v>
      </c>
      <c r="DB30" s="349">
        <v>0</v>
      </c>
      <c r="DC30" s="350">
        <v>-2.3087236056160272</v>
      </c>
      <c r="DD30" s="350">
        <v>0</v>
      </c>
      <c r="DE30" s="349">
        <v>27.587050856176962</v>
      </c>
      <c r="DF30" s="349">
        <v>0</v>
      </c>
      <c r="DG30" s="350">
        <v>-8.804799925347309</v>
      </c>
      <c r="DH30" s="350">
        <v>0</v>
      </c>
      <c r="DI30" s="349">
        <v>-80.425468482947224</v>
      </c>
      <c r="DJ30" s="349">
        <v>0</v>
      </c>
      <c r="DK30" s="350">
        <v>-3.5506377150873103</v>
      </c>
      <c r="DL30" s="350">
        <v>0</v>
      </c>
      <c r="DM30" s="349">
        <v>-62.29574293027153</v>
      </c>
      <c r="DN30" s="349">
        <v>0</v>
      </c>
      <c r="DO30" s="350">
        <v>-38.202087665000505</v>
      </c>
      <c r="DP30" s="350">
        <v>0</v>
      </c>
    </row>
    <row r="31" spans="1:120" s="352" customFormat="1" ht="15" customHeight="1" x14ac:dyDescent="0.2">
      <c r="A31" s="284"/>
      <c r="G31" s="352" t="s">
        <v>583</v>
      </c>
      <c r="H31" s="353"/>
      <c r="I31" s="349">
        <v>155.97524296094659</v>
      </c>
      <c r="J31" s="349">
        <v>0</v>
      </c>
      <c r="K31" s="350">
        <v>14.155242960946589</v>
      </c>
      <c r="L31" s="350">
        <v>0</v>
      </c>
      <c r="M31" s="349">
        <v>55.045242960946581</v>
      </c>
      <c r="N31" s="349">
        <v>0</v>
      </c>
      <c r="O31" s="350">
        <v>47.175242960946591</v>
      </c>
      <c r="P31" s="350">
        <v>0</v>
      </c>
      <c r="Q31" s="349">
        <v>44.49529929477162</v>
      </c>
      <c r="R31" s="349">
        <v>0</v>
      </c>
      <c r="S31" s="350">
        <v>72.567064307647314</v>
      </c>
      <c r="T31" s="350">
        <v>0</v>
      </c>
      <c r="U31" s="349">
        <v>39.310975795489767</v>
      </c>
      <c r="V31" s="349">
        <v>0</v>
      </c>
      <c r="W31" s="350">
        <v>69.307207866239708</v>
      </c>
      <c r="X31" s="350">
        <v>0</v>
      </c>
      <c r="Y31" s="349">
        <v>-48.362509666983371</v>
      </c>
      <c r="Z31" s="349">
        <v>0</v>
      </c>
      <c r="AA31" s="350">
        <v>144.30469890368843</v>
      </c>
      <c r="AB31" s="350">
        <v>0</v>
      </c>
      <c r="AC31" s="349">
        <v>-50.584620888735223</v>
      </c>
      <c r="AD31" s="349">
        <v>0</v>
      </c>
      <c r="AE31" s="350">
        <v>132.70380507751344</v>
      </c>
      <c r="AF31" s="350">
        <v>0</v>
      </c>
      <c r="AG31" s="349">
        <v>20.39364141332414</v>
      </c>
      <c r="AH31" s="349">
        <v>0</v>
      </c>
      <c r="AI31" s="350">
        <v>-27.032470180255253</v>
      </c>
      <c r="AJ31" s="350">
        <v>0</v>
      </c>
      <c r="AK31" s="349">
        <v>-39.07962338824008</v>
      </c>
      <c r="AL31" s="349">
        <v>0</v>
      </c>
      <c r="AM31" s="350">
        <v>-14.404648747309864</v>
      </c>
      <c r="AN31" s="350">
        <v>0</v>
      </c>
      <c r="AO31" s="349">
        <v>-2.8628256465257742</v>
      </c>
      <c r="AP31" s="349">
        <v>0</v>
      </c>
      <c r="AQ31" s="350">
        <v>-41.741439003009731</v>
      </c>
      <c r="AR31" s="350">
        <v>0</v>
      </c>
      <c r="AS31" s="349">
        <v>24.245689325336421</v>
      </c>
      <c r="AT31" s="349">
        <v>0</v>
      </c>
      <c r="AU31" s="350">
        <v>44.727351565875459</v>
      </c>
      <c r="AV31" s="350">
        <v>0</v>
      </c>
      <c r="AW31" s="351">
        <v>103.51898744500204</v>
      </c>
      <c r="AX31" s="351">
        <v>0</v>
      </c>
      <c r="AY31" s="350">
        <v>148.73679556660028</v>
      </c>
      <c r="AZ31" s="350">
        <v>0</v>
      </c>
      <c r="BA31" s="349">
        <v>94.595219328894373</v>
      </c>
      <c r="BB31" s="349">
        <v>0</v>
      </c>
      <c r="BC31" s="350">
        <v>11.787654319652027</v>
      </c>
      <c r="BD31" s="350">
        <v>0</v>
      </c>
      <c r="BE31" s="349">
        <v>116.0038130760761</v>
      </c>
      <c r="BF31" s="349">
        <v>0</v>
      </c>
      <c r="BG31" s="350">
        <v>34.281877366726775</v>
      </c>
      <c r="BH31" s="350">
        <v>0</v>
      </c>
      <c r="BI31" s="349">
        <v>-15.841404175041312</v>
      </c>
      <c r="BJ31" s="349">
        <v>0</v>
      </c>
      <c r="BK31" s="350">
        <v>-138.84536679410391</v>
      </c>
      <c r="BL31" s="350">
        <v>0</v>
      </c>
      <c r="BM31" s="349">
        <v>-13.525045916623473</v>
      </c>
      <c r="BN31" s="349">
        <v>0</v>
      </c>
      <c r="BO31" s="350">
        <v>23.01960913509939</v>
      </c>
      <c r="BP31" s="350">
        <v>0</v>
      </c>
      <c r="BQ31" s="349">
        <v>35.332526701519782</v>
      </c>
      <c r="BR31" s="349">
        <v>0</v>
      </c>
      <c r="BS31" s="350">
        <v>-49.194841450960823</v>
      </c>
      <c r="BT31" s="350">
        <v>0</v>
      </c>
      <c r="BU31" s="349">
        <v>-16.437626451177195</v>
      </c>
      <c r="BV31" s="349">
        <v>0</v>
      </c>
      <c r="BW31" s="350">
        <v>-86.270250205801176</v>
      </c>
      <c r="BX31" s="350">
        <v>0</v>
      </c>
      <c r="BY31" s="349">
        <v>-103.32472960142995</v>
      </c>
      <c r="BZ31" s="349">
        <v>0</v>
      </c>
      <c r="CA31" s="350">
        <v>-10.709203638118977</v>
      </c>
      <c r="CB31" s="350">
        <v>0</v>
      </c>
      <c r="CC31" s="349">
        <v>-97.517369334028174</v>
      </c>
      <c r="CD31" s="349">
        <v>0</v>
      </c>
      <c r="CE31" s="350">
        <v>-34.829660722014516</v>
      </c>
      <c r="CF31" s="350">
        <v>0</v>
      </c>
      <c r="CG31" s="349">
        <v>-86.748251314843571</v>
      </c>
      <c r="CH31" s="349">
        <v>0</v>
      </c>
      <c r="CI31" s="350">
        <v>-13.120972578702894</v>
      </c>
      <c r="CJ31" s="350">
        <v>0</v>
      </c>
      <c r="CK31" s="349">
        <v>137.24859313177848</v>
      </c>
      <c r="CL31" s="349">
        <v>0</v>
      </c>
      <c r="CM31" s="350">
        <v>1.6695369756395686</v>
      </c>
      <c r="CN31" s="350">
        <v>0</v>
      </c>
      <c r="CO31" s="349">
        <v>-1.6476085800373035</v>
      </c>
      <c r="CP31" s="349">
        <v>0</v>
      </c>
      <c r="CQ31" s="350">
        <v>13.902625644160509</v>
      </c>
      <c r="CR31" s="350">
        <v>0</v>
      </c>
      <c r="CS31" s="349">
        <v>3.9134075597789622</v>
      </c>
      <c r="CT31" s="349">
        <v>0</v>
      </c>
      <c r="CU31" s="350">
        <v>0.87619784971806602</v>
      </c>
      <c r="CV31" s="350">
        <v>0</v>
      </c>
      <c r="CW31" s="349">
        <v>4.6052417427537646</v>
      </c>
      <c r="CX31" s="349">
        <v>0</v>
      </c>
      <c r="CY31" s="350">
        <v>-1.3056072752139487</v>
      </c>
      <c r="CZ31" s="350">
        <v>0</v>
      </c>
      <c r="DA31" s="349">
        <v>-13.965963958818165</v>
      </c>
      <c r="DB31" s="349">
        <v>0</v>
      </c>
      <c r="DC31" s="350">
        <v>-2.3087236056160272</v>
      </c>
      <c r="DD31" s="350">
        <v>0</v>
      </c>
      <c r="DE31" s="349">
        <v>27.587050856176962</v>
      </c>
      <c r="DF31" s="349">
        <v>0</v>
      </c>
      <c r="DG31" s="350">
        <v>-8.804799925347309</v>
      </c>
      <c r="DH31" s="350">
        <v>0</v>
      </c>
      <c r="DI31" s="349">
        <v>-80.425468482947224</v>
      </c>
      <c r="DJ31" s="349">
        <v>0</v>
      </c>
      <c r="DK31" s="350">
        <v>-3.5506377150873103</v>
      </c>
      <c r="DL31" s="350">
        <v>0</v>
      </c>
      <c r="DM31" s="349">
        <v>-62.29574293027153</v>
      </c>
      <c r="DN31" s="349">
        <v>0</v>
      </c>
      <c r="DO31" s="350">
        <v>-38.202087665000505</v>
      </c>
      <c r="DP31" s="350">
        <v>0</v>
      </c>
    </row>
    <row r="32" spans="1:120" s="352" customFormat="1" ht="15" customHeight="1" x14ac:dyDescent="0.2">
      <c r="A32" s="272"/>
      <c r="H32" s="353" t="s">
        <v>591</v>
      </c>
      <c r="I32" s="349"/>
      <c r="J32" s="349"/>
      <c r="K32" s="350"/>
      <c r="L32" s="350"/>
      <c r="M32" s="349"/>
      <c r="N32" s="349"/>
      <c r="O32" s="350"/>
      <c r="P32" s="350"/>
      <c r="Q32" s="349"/>
      <c r="R32" s="349"/>
      <c r="S32" s="350"/>
      <c r="T32" s="350"/>
      <c r="U32" s="349"/>
      <c r="V32" s="349"/>
      <c r="W32" s="350"/>
      <c r="X32" s="350"/>
      <c r="Y32" s="349"/>
      <c r="Z32" s="349"/>
      <c r="AA32" s="350"/>
      <c r="AB32" s="350"/>
      <c r="AC32" s="349"/>
      <c r="AD32" s="349"/>
      <c r="AE32" s="350"/>
      <c r="AF32" s="350"/>
      <c r="AG32" s="349"/>
      <c r="AH32" s="349"/>
      <c r="AI32" s="350"/>
      <c r="AJ32" s="350"/>
      <c r="AK32" s="349"/>
      <c r="AL32" s="349"/>
      <c r="AM32" s="350"/>
      <c r="AN32" s="350"/>
      <c r="AO32" s="349"/>
      <c r="AP32" s="349"/>
      <c r="AQ32" s="350"/>
      <c r="AR32" s="350"/>
      <c r="AS32" s="349"/>
      <c r="AT32" s="349"/>
      <c r="AU32" s="350"/>
      <c r="AV32" s="350"/>
      <c r="AW32" s="351"/>
      <c r="AX32" s="351"/>
      <c r="AY32" s="350"/>
      <c r="AZ32" s="350"/>
      <c r="BA32" s="349"/>
      <c r="BB32" s="349"/>
      <c r="BC32" s="350"/>
      <c r="BD32" s="350"/>
      <c r="BE32" s="349"/>
      <c r="BF32" s="349"/>
      <c r="BG32" s="350"/>
      <c r="BH32" s="350"/>
      <c r="BI32" s="349"/>
      <c r="BJ32" s="349"/>
      <c r="BK32" s="350"/>
      <c r="BL32" s="350"/>
      <c r="BM32" s="349"/>
      <c r="BN32" s="349"/>
      <c r="BO32" s="350"/>
      <c r="BP32" s="350"/>
      <c r="BQ32" s="349"/>
      <c r="BR32" s="349"/>
      <c r="BS32" s="350"/>
      <c r="BT32" s="350"/>
      <c r="BU32" s="349"/>
      <c r="BV32" s="349"/>
      <c r="BW32" s="350"/>
      <c r="BX32" s="350"/>
      <c r="BY32" s="349"/>
      <c r="BZ32" s="349"/>
      <c r="CA32" s="350"/>
      <c r="CB32" s="350"/>
      <c r="CC32" s="349">
        <v>-90.942165243401163</v>
      </c>
      <c r="CD32" s="349"/>
      <c r="CE32" s="350">
        <v>-43.859540633253758</v>
      </c>
      <c r="CF32" s="350"/>
      <c r="CG32" s="349">
        <v>-91.348512898383518</v>
      </c>
      <c r="CH32" s="349"/>
      <c r="CI32" s="350">
        <v>-38.414988055995536</v>
      </c>
      <c r="CJ32" s="350"/>
      <c r="CK32" s="349">
        <v>-10.023456206887019</v>
      </c>
      <c r="CL32" s="349">
        <v>0</v>
      </c>
      <c r="CM32" s="350">
        <v>1.6163337056595672</v>
      </c>
      <c r="CN32" s="350">
        <v>0</v>
      </c>
      <c r="CO32" s="349">
        <v>45.37079797547819</v>
      </c>
      <c r="CP32" s="349">
        <v>0</v>
      </c>
      <c r="CQ32" s="350">
        <v>42.291876328346262</v>
      </c>
      <c r="CR32" s="350">
        <v>0</v>
      </c>
      <c r="CS32" s="349">
        <v>0.96473081020230467</v>
      </c>
      <c r="CT32" s="349">
        <v>0</v>
      </c>
      <c r="CU32" s="350">
        <v>1.0604090424802912</v>
      </c>
      <c r="CV32" s="350">
        <v>0</v>
      </c>
      <c r="CW32" s="349">
        <v>8.168549750154682</v>
      </c>
      <c r="CX32" s="349">
        <v>0</v>
      </c>
      <c r="CY32" s="350">
        <v>2.1114781196622161</v>
      </c>
      <c r="CZ32" s="350">
        <v>0</v>
      </c>
      <c r="DA32" s="349">
        <v>-25.406149142901242</v>
      </c>
      <c r="DB32" s="349">
        <v>0</v>
      </c>
      <c r="DC32" s="350">
        <v>-3.6871213762970854</v>
      </c>
      <c r="DD32" s="350">
        <v>0</v>
      </c>
      <c r="DE32" s="349">
        <v>9.9396358765951938</v>
      </c>
      <c r="DF32" s="349">
        <v>0</v>
      </c>
      <c r="DG32" s="350">
        <v>-13.425596514769225</v>
      </c>
      <c r="DH32" s="350">
        <v>0</v>
      </c>
      <c r="DI32" s="349">
        <v>-35.963136330023183</v>
      </c>
      <c r="DJ32" s="349">
        <v>0</v>
      </c>
      <c r="DK32" s="350">
        <v>-3.5682731998387496</v>
      </c>
      <c r="DL32" s="350">
        <v>0</v>
      </c>
      <c r="DM32" s="349">
        <v>-50.402609456173622</v>
      </c>
      <c r="DN32" s="349">
        <v>0</v>
      </c>
      <c r="DO32" s="350">
        <v>-37.467810419306772</v>
      </c>
      <c r="DP32" s="350">
        <v>0</v>
      </c>
    </row>
    <row r="33" spans="1:120" s="352" customFormat="1" ht="15" customHeight="1" x14ac:dyDescent="0.2">
      <c r="A33" s="272"/>
      <c r="H33" s="353" t="s">
        <v>592</v>
      </c>
      <c r="I33" s="349"/>
      <c r="J33" s="349"/>
      <c r="K33" s="350"/>
      <c r="L33" s="350"/>
      <c r="M33" s="349"/>
      <c r="N33" s="349"/>
      <c r="O33" s="350"/>
      <c r="P33" s="350"/>
      <c r="Q33" s="349"/>
      <c r="R33" s="349"/>
      <c r="S33" s="350"/>
      <c r="T33" s="350"/>
      <c r="U33" s="349"/>
      <c r="V33" s="349"/>
      <c r="W33" s="350"/>
      <c r="X33" s="350"/>
      <c r="Y33" s="349"/>
      <c r="Z33" s="349"/>
      <c r="AA33" s="350"/>
      <c r="AB33" s="350"/>
      <c r="AC33" s="349"/>
      <c r="AD33" s="349"/>
      <c r="AE33" s="350"/>
      <c r="AF33" s="350"/>
      <c r="AG33" s="349"/>
      <c r="AH33" s="349"/>
      <c r="AI33" s="350"/>
      <c r="AJ33" s="350"/>
      <c r="AK33" s="349"/>
      <c r="AL33" s="349"/>
      <c r="AM33" s="350"/>
      <c r="AN33" s="350"/>
      <c r="AO33" s="349"/>
      <c r="AP33" s="349"/>
      <c r="AQ33" s="350"/>
      <c r="AR33" s="350"/>
      <c r="AS33" s="349"/>
      <c r="AT33" s="349"/>
      <c r="AU33" s="350"/>
      <c r="AV33" s="350"/>
      <c r="AW33" s="351"/>
      <c r="AX33" s="351"/>
      <c r="AY33" s="350"/>
      <c r="AZ33" s="350"/>
      <c r="BA33" s="349"/>
      <c r="BB33" s="349"/>
      <c r="BC33" s="350"/>
      <c r="BD33" s="350"/>
      <c r="BE33" s="349"/>
      <c r="BF33" s="349"/>
      <c r="BG33" s="350"/>
      <c r="BH33" s="350"/>
      <c r="BI33" s="349"/>
      <c r="BJ33" s="349"/>
      <c r="BK33" s="350"/>
      <c r="BL33" s="350"/>
      <c r="BM33" s="349"/>
      <c r="BN33" s="349"/>
      <c r="BO33" s="350"/>
      <c r="BP33" s="350"/>
      <c r="BQ33" s="349"/>
      <c r="BR33" s="349"/>
      <c r="BS33" s="350"/>
      <c r="BT33" s="350"/>
      <c r="BU33" s="349"/>
      <c r="BV33" s="349"/>
      <c r="BW33" s="350"/>
      <c r="BX33" s="350"/>
      <c r="BY33" s="349"/>
      <c r="BZ33" s="349"/>
      <c r="CA33" s="350"/>
      <c r="CB33" s="350"/>
      <c r="CC33" s="349">
        <v>-6.5752040906270288</v>
      </c>
      <c r="CD33" s="349"/>
      <c r="CE33" s="350">
        <v>-1.2180754538969556</v>
      </c>
      <c r="CF33" s="350"/>
      <c r="CG33" s="349">
        <v>3.7517194726108007</v>
      </c>
      <c r="CH33" s="349"/>
      <c r="CI33" s="350">
        <v>9.8067139300325277</v>
      </c>
      <c r="CJ33" s="350"/>
      <c r="CK33" s="349">
        <v>46.774060263011847</v>
      </c>
      <c r="CL33" s="349">
        <v>0</v>
      </c>
      <c r="CM33" s="350">
        <v>-0.27236603542936488</v>
      </c>
      <c r="CN33" s="350">
        <v>0</v>
      </c>
      <c r="CO33" s="349">
        <v>-47.027695213195592</v>
      </c>
      <c r="CP33" s="349">
        <v>0</v>
      </c>
      <c r="CQ33" s="350">
        <v>-30.149371373299822</v>
      </c>
      <c r="CR33" s="350">
        <v>0</v>
      </c>
      <c r="CS33" s="349">
        <v>2.7610154673186891</v>
      </c>
      <c r="CT33" s="349">
        <v>0</v>
      </c>
      <c r="CU33" s="350">
        <v>-0.39779443793146829</v>
      </c>
      <c r="CV33" s="350">
        <v>0</v>
      </c>
      <c r="CW33" s="349">
        <v>-3.8808623414901247</v>
      </c>
      <c r="CX33" s="349">
        <v>0</v>
      </c>
      <c r="CY33" s="350">
        <v>-8.594894296429187</v>
      </c>
      <c r="CZ33" s="350">
        <v>0</v>
      </c>
      <c r="DA33" s="349">
        <v>-36.250822734548336</v>
      </c>
      <c r="DB33" s="349">
        <v>0</v>
      </c>
      <c r="DC33" s="350">
        <v>0.90779237455353723</v>
      </c>
      <c r="DD33" s="350">
        <v>0</v>
      </c>
      <c r="DE33" s="349">
        <v>4.9686351080776028</v>
      </c>
      <c r="DF33" s="349">
        <v>0</v>
      </c>
      <c r="DG33" s="350">
        <v>-7.384923251124631E-2</v>
      </c>
      <c r="DH33" s="350">
        <v>0</v>
      </c>
      <c r="DI33" s="349">
        <v>-44.462332152924034</v>
      </c>
      <c r="DJ33" s="349">
        <v>0</v>
      </c>
      <c r="DK33" s="350">
        <v>-0.29034317784058616</v>
      </c>
      <c r="DL33" s="350">
        <v>0</v>
      </c>
      <c r="DM33" s="349">
        <v>-16.945473850908073</v>
      </c>
      <c r="DN33" s="349">
        <v>0</v>
      </c>
      <c r="DO33" s="350">
        <v>-0.76517505869800906</v>
      </c>
      <c r="DP33" s="350">
        <v>0</v>
      </c>
    </row>
    <row r="34" spans="1:120" s="352" customFormat="1" ht="15" customHeight="1" x14ac:dyDescent="0.2">
      <c r="A34" s="272"/>
      <c r="H34" s="353" t="s">
        <v>593</v>
      </c>
      <c r="I34" s="349"/>
      <c r="J34" s="349"/>
      <c r="K34" s="350"/>
      <c r="L34" s="350"/>
      <c r="M34" s="349"/>
      <c r="N34" s="349"/>
      <c r="O34" s="350"/>
      <c r="P34" s="350"/>
      <c r="Q34" s="349"/>
      <c r="R34" s="349"/>
      <c r="S34" s="350"/>
      <c r="T34" s="350"/>
      <c r="U34" s="349"/>
      <c r="V34" s="349"/>
      <c r="W34" s="350"/>
      <c r="X34" s="350"/>
      <c r="Y34" s="349"/>
      <c r="Z34" s="349"/>
      <c r="AA34" s="350"/>
      <c r="AB34" s="350"/>
      <c r="AC34" s="349"/>
      <c r="AD34" s="349"/>
      <c r="AE34" s="350"/>
      <c r="AF34" s="350"/>
      <c r="AG34" s="349"/>
      <c r="AH34" s="349"/>
      <c r="AI34" s="350"/>
      <c r="AJ34" s="350"/>
      <c r="AK34" s="349"/>
      <c r="AL34" s="349"/>
      <c r="AM34" s="350"/>
      <c r="AN34" s="350"/>
      <c r="AO34" s="349"/>
      <c r="AP34" s="349"/>
      <c r="AQ34" s="350"/>
      <c r="AR34" s="350"/>
      <c r="AS34" s="349"/>
      <c r="AT34" s="349"/>
      <c r="AU34" s="350"/>
      <c r="AV34" s="350"/>
      <c r="AW34" s="351"/>
      <c r="AX34" s="351"/>
      <c r="AY34" s="350"/>
      <c r="AZ34" s="350"/>
      <c r="BA34" s="349"/>
      <c r="BB34" s="349"/>
      <c r="BC34" s="350"/>
      <c r="BD34" s="350"/>
      <c r="BE34" s="349"/>
      <c r="BF34" s="349"/>
      <c r="BG34" s="350"/>
      <c r="BH34" s="350"/>
      <c r="BI34" s="349"/>
      <c r="BJ34" s="349"/>
      <c r="BK34" s="350"/>
      <c r="BL34" s="350"/>
      <c r="BM34" s="349"/>
      <c r="BN34" s="349"/>
      <c r="BO34" s="350"/>
      <c r="BP34" s="350"/>
      <c r="BQ34" s="349"/>
      <c r="BR34" s="349"/>
      <c r="BS34" s="350"/>
      <c r="BT34" s="350"/>
      <c r="BU34" s="349"/>
      <c r="BV34" s="349"/>
      <c r="BW34" s="350"/>
      <c r="BX34" s="350"/>
      <c r="BY34" s="349"/>
      <c r="BZ34" s="349"/>
      <c r="CA34" s="350"/>
      <c r="CB34" s="350"/>
      <c r="CC34" s="349">
        <v>0</v>
      </c>
      <c r="CD34" s="349"/>
      <c r="CE34" s="350">
        <v>10.247955365136198</v>
      </c>
      <c r="CF34" s="350"/>
      <c r="CG34" s="349">
        <v>0.84854211092912823</v>
      </c>
      <c r="CH34" s="349"/>
      <c r="CI34" s="350">
        <v>15.487301547260115</v>
      </c>
      <c r="CJ34" s="350"/>
      <c r="CK34" s="349">
        <v>100.49798907565363</v>
      </c>
      <c r="CL34" s="349">
        <v>0</v>
      </c>
      <c r="CM34" s="350">
        <v>0.32556930540936529</v>
      </c>
      <c r="CN34" s="350">
        <v>0</v>
      </c>
      <c r="CO34" s="349">
        <v>9.2886576800828135E-3</v>
      </c>
      <c r="CP34" s="349">
        <v>0</v>
      </c>
      <c r="CQ34" s="350">
        <v>1.7601206891140606</v>
      </c>
      <c r="CR34" s="350">
        <v>0</v>
      </c>
      <c r="CS34" s="357">
        <v>0.18766128225796613</v>
      </c>
      <c r="CT34" s="349">
        <v>0</v>
      </c>
      <c r="CU34" s="350">
        <v>0.21358324516924559</v>
      </c>
      <c r="CV34" s="350">
        <v>0</v>
      </c>
      <c r="CW34" s="357">
        <v>0.31755433408920908</v>
      </c>
      <c r="CX34" s="349">
        <v>0</v>
      </c>
      <c r="CY34" s="350">
        <v>5.1778089015530169</v>
      </c>
      <c r="CZ34" s="350">
        <v>0</v>
      </c>
      <c r="DA34" s="357">
        <v>47.691007918631421</v>
      </c>
      <c r="DB34" s="349">
        <v>0</v>
      </c>
      <c r="DC34" s="350">
        <v>0.47060539612752156</v>
      </c>
      <c r="DD34" s="350">
        <v>0</v>
      </c>
      <c r="DE34" s="357">
        <v>12.678779871504167</v>
      </c>
      <c r="DF34" s="349">
        <v>0</v>
      </c>
      <c r="DG34" s="350">
        <v>4.6946458219331566</v>
      </c>
      <c r="DH34" s="350">
        <v>0</v>
      </c>
      <c r="DI34" s="357">
        <v>0</v>
      </c>
      <c r="DJ34" s="349">
        <v>0</v>
      </c>
      <c r="DK34" s="350">
        <v>0.30797866259202616</v>
      </c>
      <c r="DL34" s="350">
        <v>0</v>
      </c>
      <c r="DM34" s="357">
        <v>5.0523403768101565</v>
      </c>
      <c r="DN34" s="349">
        <v>0</v>
      </c>
      <c r="DO34" s="350">
        <v>3.0897813004278234E-2</v>
      </c>
      <c r="DP34" s="350">
        <v>0</v>
      </c>
    </row>
    <row r="35" spans="1:120" s="352" customFormat="1" ht="15" customHeight="1" x14ac:dyDescent="0.2">
      <c r="A35" s="272"/>
      <c r="H35" s="353"/>
      <c r="I35" s="349"/>
      <c r="J35" s="349"/>
      <c r="K35" s="350"/>
      <c r="L35" s="350"/>
      <c r="M35" s="349"/>
      <c r="N35" s="349"/>
      <c r="O35" s="350"/>
      <c r="P35" s="350"/>
      <c r="Q35" s="349"/>
      <c r="R35" s="349"/>
      <c r="S35" s="350"/>
      <c r="T35" s="350"/>
      <c r="U35" s="349"/>
      <c r="V35" s="349"/>
      <c r="W35" s="350"/>
      <c r="X35" s="350"/>
      <c r="Y35" s="349"/>
      <c r="Z35" s="349"/>
      <c r="AA35" s="350"/>
      <c r="AB35" s="350"/>
      <c r="AC35" s="349"/>
      <c r="AD35" s="349"/>
      <c r="AE35" s="350"/>
      <c r="AF35" s="350"/>
      <c r="AG35" s="349"/>
      <c r="AH35" s="349"/>
      <c r="AI35" s="350"/>
      <c r="AJ35" s="350"/>
      <c r="AK35" s="349"/>
      <c r="AL35" s="349"/>
      <c r="AM35" s="350"/>
      <c r="AN35" s="350"/>
      <c r="AO35" s="349"/>
      <c r="AP35" s="349"/>
      <c r="AQ35" s="350"/>
      <c r="AR35" s="350"/>
      <c r="AS35" s="349"/>
      <c r="AT35" s="349"/>
      <c r="AU35" s="350"/>
      <c r="AV35" s="350"/>
      <c r="AW35" s="351"/>
      <c r="AX35" s="351"/>
      <c r="AY35" s="350"/>
      <c r="AZ35" s="350"/>
      <c r="BA35" s="349"/>
      <c r="BB35" s="349"/>
      <c r="BC35" s="350"/>
      <c r="BD35" s="350"/>
      <c r="BE35" s="349"/>
      <c r="BF35" s="349"/>
      <c r="BG35" s="350"/>
      <c r="BH35" s="350"/>
      <c r="BI35" s="349"/>
      <c r="BJ35" s="349"/>
      <c r="BK35" s="350"/>
      <c r="BL35" s="350"/>
      <c r="BM35" s="349"/>
      <c r="BN35" s="349"/>
      <c r="BO35" s="350"/>
      <c r="BP35" s="350"/>
      <c r="BQ35" s="349"/>
      <c r="BR35" s="349"/>
      <c r="BS35" s="350"/>
      <c r="BT35" s="350"/>
      <c r="BU35" s="349"/>
      <c r="BV35" s="349"/>
      <c r="BW35" s="350"/>
      <c r="BX35" s="350"/>
      <c r="BY35" s="349"/>
      <c r="BZ35" s="349"/>
      <c r="CA35" s="350"/>
      <c r="CB35" s="350"/>
      <c r="CC35" s="349"/>
      <c r="CD35" s="349"/>
      <c r="CE35" s="350"/>
      <c r="CF35" s="350"/>
      <c r="CG35" s="349"/>
      <c r="CH35" s="349"/>
      <c r="CI35" s="350"/>
      <c r="CJ35" s="350"/>
      <c r="CK35" s="349"/>
      <c r="CL35" s="349"/>
      <c r="CM35" s="350"/>
      <c r="CN35" s="350"/>
      <c r="CO35" s="349"/>
      <c r="CP35" s="349"/>
      <c r="CQ35" s="350"/>
      <c r="CR35" s="350"/>
      <c r="CS35" s="349"/>
      <c r="CT35" s="349"/>
      <c r="CU35" s="350"/>
      <c r="CV35" s="350"/>
      <c r="CW35" s="349"/>
      <c r="CX35" s="349"/>
      <c r="CY35" s="350"/>
      <c r="CZ35" s="350"/>
      <c r="DA35" s="349"/>
      <c r="DB35" s="349"/>
      <c r="DC35" s="350"/>
      <c r="DD35" s="350"/>
      <c r="DE35" s="349"/>
      <c r="DF35" s="349"/>
      <c r="DG35" s="350"/>
      <c r="DH35" s="350"/>
      <c r="DI35" s="349"/>
      <c r="DJ35" s="349"/>
      <c r="DK35" s="350"/>
      <c r="DL35" s="350"/>
      <c r="DM35" s="349"/>
      <c r="DN35" s="349"/>
      <c r="DO35" s="350"/>
      <c r="DP35" s="350"/>
    </row>
    <row r="36" spans="1:120" ht="15" customHeight="1" x14ac:dyDescent="0.2">
      <c r="E36" s="347" t="s">
        <v>594</v>
      </c>
      <c r="I36" s="349">
        <v>406.46455952335828</v>
      </c>
      <c r="J36" s="349">
        <v>5.4235023426958406E-2</v>
      </c>
      <c r="K36" s="350">
        <v>534.79999999999995</v>
      </c>
      <c r="L36" s="350">
        <v>-7.3194102673088679E-3</v>
      </c>
      <c r="M36" s="349">
        <v>1379.4625651448434</v>
      </c>
      <c r="N36" s="349">
        <v>-5.813614078687479E-2</v>
      </c>
      <c r="O36" s="350">
        <v>-477.4</v>
      </c>
      <c r="P36" s="350">
        <v>-9.9754275380573301</v>
      </c>
      <c r="Q36" s="349">
        <v>534.82224252850494</v>
      </c>
      <c r="R36" s="349">
        <v>-1.3945830020512529E-3</v>
      </c>
      <c r="S36" s="350">
        <v>629.53474055716913</v>
      </c>
      <c r="T36" s="350">
        <v>9.4172179803182026</v>
      </c>
      <c r="U36" s="349">
        <v>570.59055919237744</v>
      </c>
      <c r="V36" s="349">
        <v>-9.2566296999229927</v>
      </c>
      <c r="W36" s="350">
        <v>107.81861129169204</v>
      </c>
      <c r="X36" s="350">
        <v>-0.14694460790848479</v>
      </c>
      <c r="Y36" s="349">
        <v>1092.8891774916501</v>
      </c>
      <c r="Z36" s="349">
        <v>1.2865075204382403E-4</v>
      </c>
      <c r="AA36" s="350">
        <v>778.59432130948483</v>
      </c>
      <c r="AB36" s="350">
        <v>-1.2856257569526797E-5</v>
      </c>
      <c r="AC36" s="349">
        <v>153.80667020101356</v>
      </c>
      <c r="AD36" s="349">
        <v>1.4592336642213488E-3</v>
      </c>
      <c r="AE36" s="350">
        <v>-138.31425085489039</v>
      </c>
      <c r="AF36" s="350">
        <v>-0.2218047865516799</v>
      </c>
      <c r="AG36" s="349">
        <v>-499.39070788053317</v>
      </c>
      <c r="AH36" s="349">
        <v>3.1031446395419632E-3</v>
      </c>
      <c r="AI36" s="350">
        <v>636.09771855572319</v>
      </c>
      <c r="AJ36" s="350">
        <v>3.6858104715418727E-3</v>
      </c>
      <c r="AK36" s="349">
        <v>-716.9439795233385</v>
      </c>
      <c r="AL36" s="349">
        <v>1.1525649386479001E-2</v>
      </c>
      <c r="AM36" s="350">
        <v>1326.8042250336425</v>
      </c>
      <c r="AN36" s="350">
        <v>4.3689108911441066E-3</v>
      </c>
      <c r="AO36" s="349">
        <v>-564.01470869654656</v>
      </c>
      <c r="AP36" s="349">
        <v>-1.0999331307741986E-2</v>
      </c>
      <c r="AQ36" s="350">
        <v>-13.886150638629029</v>
      </c>
      <c r="AR36" s="350">
        <v>-2.295905434903503E-3</v>
      </c>
      <c r="AS36" s="349">
        <v>1918.7734927037604</v>
      </c>
      <c r="AT36" s="349">
        <v>5.3586500112903779E-5</v>
      </c>
      <c r="AU36" s="350">
        <v>-372.25035903414931</v>
      </c>
      <c r="AV36" s="350">
        <v>8.2255471399211716E-3</v>
      </c>
      <c r="AW36" s="351">
        <v>-415.07113996132</v>
      </c>
      <c r="AX36" s="351">
        <v>0</v>
      </c>
      <c r="AY36" s="350">
        <v>1234.3633046912291</v>
      </c>
      <c r="AZ36" s="350">
        <v>0</v>
      </c>
      <c r="BA36" s="349">
        <v>385.95578424879858</v>
      </c>
      <c r="BB36" s="349">
        <v>-6.3380962476085323E-4</v>
      </c>
      <c r="BC36" s="350">
        <v>207.60724654309084</v>
      </c>
      <c r="BD36" s="350">
        <v>-8.4958272234622892E-2</v>
      </c>
      <c r="BE36" s="349">
        <v>-26.311592927353399</v>
      </c>
      <c r="BF36" s="349">
        <v>0</v>
      </c>
      <c r="BG36" s="350">
        <v>1850.1356707518175</v>
      </c>
      <c r="BH36" s="350">
        <v>0</v>
      </c>
      <c r="BI36" s="349">
        <v>-1068.0213640112133</v>
      </c>
      <c r="BJ36" s="349">
        <v>0</v>
      </c>
      <c r="BK36" s="350">
        <v>-622.26346618736522</v>
      </c>
      <c r="BL36" s="350">
        <v>0</v>
      </c>
      <c r="BM36" s="349">
        <v>1451.9383845973393</v>
      </c>
      <c r="BN36" s="349">
        <v>0</v>
      </c>
      <c r="BO36" s="350">
        <v>1353.2422032201837</v>
      </c>
      <c r="BP36" s="350">
        <v>0</v>
      </c>
      <c r="BQ36" s="349">
        <v>-445.49208633257547</v>
      </c>
      <c r="BR36" s="349">
        <v>0</v>
      </c>
      <c r="BS36" s="350">
        <v>-42.239617271410857</v>
      </c>
      <c r="BT36" s="350">
        <v>0</v>
      </c>
      <c r="BU36" s="349">
        <v>-500.75528493829313</v>
      </c>
      <c r="BV36" s="349">
        <v>0</v>
      </c>
      <c r="BW36" s="350">
        <v>-167.96550711405979</v>
      </c>
      <c r="BX36" s="350">
        <v>0</v>
      </c>
      <c r="BY36" s="349">
        <v>-358.95286712533425</v>
      </c>
      <c r="BZ36" s="349">
        <v>0</v>
      </c>
      <c r="CA36" s="350">
        <v>-1138.6834134475882</v>
      </c>
      <c r="CB36" s="350">
        <v>0</v>
      </c>
      <c r="CC36" s="349">
        <v>-644.69538141900273</v>
      </c>
      <c r="CD36" s="349">
        <v>0</v>
      </c>
      <c r="CE36" s="350">
        <v>36.855142437383769</v>
      </c>
      <c r="CF36" s="350">
        <v>0</v>
      </c>
      <c r="CG36" s="349">
        <v>-707.4573742419019</v>
      </c>
      <c r="CH36" s="349">
        <v>0</v>
      </c>
      <c r="CI36" s="350">
        <v>0.10689821533256411</v>
      </c>
      <c r="CJ36" s="350">
        <v>0</v>
      </c>
      <c r="CK36" s="349">
        <v>-387.70211611992704</v>
      </c>
      <c r="CL36" s="349">
        <v>0</v>
      </c>
      <c r="CM36" s="350">
        <v>190.96156861564796</v>
      </c>
      <c r="CN36" s="350">
        <v>0</v>
      </c>
      <c r="CO36" s="349">
        <v>215.14279259699444</v>
      </c>
      <c r="CP36" s="349">
        <v>0</v>
      </c>
      <c r="CQ36" s="350">
        <v>200.05702813834139</v>
      </c>
      <c r="CR36" s="350">
        <v>0</v>
      </c>
      <c r="CS36" s="349">
        <v>287.79594559007091</v>
      </c>
      <c r="CT36" s="349">
        <v>0</v>
      </c>
      <c r="CU36" s="350">
        <v>508.93622514188587</v>
      </c>
      <c r="CV36" s="350">
        <v>0</v>
      </c>
      <c r="CW36" s="349">
        <v>80.014986675295575</v>
      </c>
      <c r="CX36" s="349">
        <v>2.0739500003515154E-4</v>
      </c>
      <c r="CY36" s="350">
        <v>46.438266865788322</v>
      </c>
      <c r="CZ36" s="350">
        <v>173.43281988863242</v>
      </c>
      <c r="DA36" s="349">
        <v>90.052576908596563</v>
      </c>
      <c r="DB36" s="349">
        <v>93.145631268609691</v>
      </c>
      <c r="DC36" s="350">
        <v>110.51532154099941</v>
      </c>
      <c r="DD36" s="350">
        <v>65.377519556375375</v>
      </c>
      <c r="DE36" s="349">
        <v>119.06392336789783</v>
      </c>
      <c r="DF36" s="349">
        <v>197.74299823680519</v>
      </c>
      <c r="DG36" s="350">
        <v>-20.461209091231989</v>
      </c>
      <c r="DH36" s="350">
        <v>-176.33231846366758</v>
      </c>
      <c r="DI36" s="349">
        <v>92.540190404261239</v>
      </c>
      <c r="DJ36" s="349">
        <v>-71.201445647194987</v>
      </c>
      <c r="DK36" s="350">
        <v>-294.90463779098661</v>
      </c>
      <c r="DL36" s="350">
        <v>311.34505526427705</v>
      </c>
      <c r="DM36" s="349">
        <v>73.60999945758013</v>
      </c>
      <c r="DN36" s="349">
        <v>-399.15575247209</v>
      </c>
      <c r="DO36" s="350">
        <v>46.231584762369934</v>
      </c>
      <c r="DP36" s="350">
        <v>-99.795558006849632</v>
      </c>
    </row>
    <row r="37" spans="1:120" ht="15" customHeight="1" x14ac:dyDescent="0.2">
      <c r="F37" s="347" t="s">
        <v>595</v>
      </c>
      <c r="I37" s="349">
        <v>0</v>
      </c>
      <c r="J37" s="349">
        <v>0</v>
      </c>
      <c r="K37" s="350">
        <v>0</v>
      </c>
      <c r="L37" s="350">
        <v>0</v>
      </c>
      <c r="M37" s="349">
        <v>0</v>
      </c>
      <c r="N37" s="349">
        <v>0</v>
      </c>
      <c r="O37" s="350">
        <v>0</v>
      </c>
      <c r="P37" s="350">
        <v>0</v>
      </c>
      <c r="Q37" s="349">
        <v>0</v>
      </c>
      <c r="R37" s="349">
        <v>0</v>
      </c>
      <c r="S37" s="350">
        <v>0</v>
      </c>
      <c r="T37" s="350">
        <v>0</v>
      </c>
      <c r="U37" s="349">
        <v>0</v>
      </c>
      <c r="V37" s="349">
        <v>0</v>
      </c>
      <c r="W37" s="350">
        <v>0</v>
      </c>
      <c r="X37" s="350">
        <v>0</v>
      </c>
      <c r="Y37" s="349">
        <v>0</v>
      </c>
      <c r="Z37" s="349">
        <v>0</v>
      </c>
      <c r="AA37" s="350">
        <v>0</v>
      </c>
      <c r="AB37" s="350">
        <v>0</v>
      </c>
      <c r="AC37" s="349">
        <v>0</v>
      </c>
      <c r="AD37" s="349">
        <v>0</v>
      </c>
      <c r="AE37" s="350">
        <v>0</v>
      </c>
      <c r="AF37" s="350">
        <v>0</v>
      </c>
      <c r="AG37" s="349">
        <v>0</v>
      </c>
      <c r="AH37" s="349">
        <v>0</v>
      </c>
      <c r="AI37" s="350">
        <v>0</v>
      </c>
      <c r="AJ37" s="350">
        <v>0</v>
      </c>
      <c r="AK37" s="349">
        <v>0</v>
      </c>
      <c r="AL37" s="349">
        <v>0</v>
      </c>
      <c r="AM37" s="350">
        <v>0</v>
      </c>
      <c r="AN37" s="350">
        <v>0</v>
      </c>
      <c r="AO37" s="349">
        <v>0</v>
      </c>
      <c r="AP37" s="349">
        <v>0</v>
      </c>
      <c r="AQ37" s="350">
        <v>0</v>
      </c>
      <c r="AR37" s="350">
        <v>0</v>
      </c>
      <c r="AS37" s="349">
        <v>0</v>
      </c>
      <c r="AT37" s="349">
        <v>0</v>
      </c>
      <c r="AU37" s="350">
        <v>0</v>
      </c>
      <c r="AV37" s="350">
        <v>0</v>
      </c>
      <c r="AW37" s="351">
        <v>0</v>
      </c>
      <c r="AX37" s="351">
        <v>0</v>
      </c>
      <c r="AY37" s="350">
        <v>0</v>
      </c>
      <c r="AZ37" s="350">
        <v>0</v>
      </c>
      <c r="BA37" s="349">
        <v>0</v>
      </c>
      <c r="BB37" s="349">
        <v>0</v>
      </c>
      <c r="BC37" s="350">
        <v>0</v>
      </c>
      <c r="BD37" s="350">
        <v>0</v>
      </c>
      <c r="BE37" s="349">
        <v>0</v>
      </c>
      <c r="BF37" s="349">
        <v>0</v>
      </c>
      <c r="BG37" s="350">
        <v>0</v>
      </c>
      <c r="BH37" s="350">
        <v>0</v>
      </c>
      <c r="BI37" s="349">
        <v>0</v>
      </c>
      <c r="BJ37" s="349">
        <v>0</v>
      </c>
      <c r="BK37" s="350">
        <v>0</v>
      </c>
      <c r="BL37" s="350">
        <v>0</v>
      </c>
      <c r="BM37" s="349">
        <v>0</v>
      </c>
      <c r="BN37" s="349">
        <v>0</v>
      </c>
      <c r="BO37" s="350">
        <v>0</v>
      </c>
      <c r="BP37" s="350">
        <v>0</v>
      </c>
      <c r="BQ37" s="349">
        <v>0</v>
      </c>
      <c r="BR37" s="349">
        <v>0</v>
      </c>
      <c r="BS37" s="350">
        <v>0</v>
      </c>
      <c r="BT37" s="350">
        <v>0</v>
      </c>
      <c r="BU37" s="349">
        <v>0</v>
      </c>
      <c r="BV37" s="349">
        <v>0</v>
      </c>
      <c r="BW37" s="350">
        <v>0</v>
      </c>
      <c r="BX37" s="350">
        <v>0</v>
      </c>
      <c r="BY37" s="349">
        <v>0</v>
      </c>
      <c r="BZ37" s="349">
        <v>0</v>
      </c>
      <c r="CA37" s="350">
        <v>0</v>
      </c>
      <c r="CB37" s="350">
        <v>0</v>
      </c>
      <c r="CC37" s="349">
        <v>0</v>
      </c>
      <c r="CD37" s="349">
        <v>0</v>
      </c>
      <c r="CE37" s="350">
        <v>0</v>
      </c>
      <c r="CF37" s="350">
        <v>0</v>
      </c>
      <c r="CG37" s="349">
        <v>0</v>
      </c>
      <c r="CH37" s="349">
        <v>0</v>
      </c>
      <c r="CI37" s="350">
        <v>0</v>
      </c>
      <c r="CJ37" s="350">
        <v>0</v>
      </c>
      <c r="CK37" s="349">
        <v>0</v>
      </c>
      <c r="CL37" s="349">
        <v>0</v>
      </c>
      <c r="CM37" s="350">
        <v>0</v>
      </c>
      <c r="CN37" s="350">
        <v>0</v>
      </c>
      <c r="CO37" s="349">
        <v>0</v>
      </c>
      <c r="CP37" s="349">
        <v>0</v>
      </c>
      <c r="CQ37" s="350">
        <v>0</v>
      </c>
      <c r="CR37" s="350">
        <v>0</v>
      </c>
      <c r="CS37" s="349">
        <v>0</v>
      </c>
      <c r="CT37" s="349">
        <v>0</v>
      </c>
      <c r="CU37" s="350">
        <v>0</v>
      </c>
      <c r="CV37" s="350">
        <v>0</v>
      </c>
      <c r="CW37" s="349">
        <v>0</v>
      </c>
      <c r="CX37" s="349">
        <v>0</v>
      </c>
      <c r="CY37" s="350">
        <v>0</v>
      </c>
      <c r="CZ37" s="350">
        <v>0</v>
      </c>
      <c r="DA37" s="349">
        <v>0</v>
      </c>
      <c r="DB37" s="349">
        <v>0</v>
      </c>
      <c r="DC37" s="350">
        <v>0</v>
      </c>
      <c r="DD37" s="350">
        <v>0</v>
      </c>
      <c r="DE37" s="349">
        <v>0</v>
      </c>
      <c r="DF37" s="349">
        <v>0</v>
      </c>
      <c r="DG37" s="350">
        <v>0</v>
      </c>
      <c r="DH37" s="350">
        <v>0</v>
      </c>
      <c r="DI37" s="349">
        <v>0</v>
      </c>
      <c r="DJ37" s="349">
        <v>0</v>
      </c>
      <c r="DK37" s="350">
        <v>0</v>
      </c>
      <c r="DL37" s="350">
        <v>0</v>
      </c>
      <c r="DM37" s="349">
        <v>0</v>
      </c>
      <c r="DN37" s="349">
        <v>0</v>
      </c>
      <c r="DO37" s="350">
        <v>0</v>
      </c>
      <c r="DP37" s="350">
        <v>0</v>
      </c>
    </row>
    <row r="38" spans="1:120" ht="15" customHeight="1" x14ac:dyDescent="0.2">
      <c r="F38" s="347" t="s">
        <v>596</v>
      </c>
      <c r="I38" s="349">
        <v>0</v>
      </c>
      <c r="J38" s="349">
        <v>5.4235023426958406E-2</v>
      </c>
      <c r="K38" s="350">
        <v>500</v>
      </c>
      <c r="L38" s="350">
        <v>-7.3194102673088679E-3</v>
      </c>
      <c r="M38" s="349">
        <v>0</v>
      </c>
      <c r="N38" s="349">
        <v>-5.813614078687479E-2</v>
      </c>
      <c r="O38" s="350">
        <v>0</v>
      </c>
      <c r="P38" s="350">
        <v>-9.9754275380573301</v>
      </c>
      <c r="Q38" s="349">
        <v>0</v>
      </c>
      <c r="R38" s="349">
        <v>-1.3945830020512529E-3</v>
      </c>
      <c r="S38" s="350">
        <v>500</v>
      </c>
      <c r="T38" s="350">
        <v>9.4172179803182026</v>
      </c>
      <c r="U38" s="349">
        <v>750</v>
      </c>
      <c r="V38" s="349">
        <v>-9.2566296999229927</v>
      </c>
      <c r="W38" s="350">
        <v>100</v>
      </c>
      <c r="X38" s="350">
        <v>-0.14694460790848479</v>
      </c>
      <c r="Y38" s="349">
        <v>0</v>
      </c>
      <c r="Z38" s="349">
        <v>1.2865075204382403E-4</v>
      </c>
      <c r="AA38" s="350">
        <v>0</v>
      </c>
      <c r="AB38" s="350">
        <v>-1.2856257569526797E-5</v>
      </c>
      <c r="AC38" s="349">
        <v>250</v>
      </c>
      <c r="AD38" s="349">
        <v>1.4592336642213488E-3</v>
      </c>
      <c r="AE38" s="350">
        <v>0</v>
      </c>
      <c r="AF38" s="350">
        <v>-0.2218047865516799</v>
      </c>
      <c r="AG38" s="349">
        <v>0</v>
      </c>
      <c r="AH38" s="349">
        <v>3.1031446395419632E-3</v>
      </c>
      <c r="AI38" s="350">
        <v>0</v>
      </c>
      <c r="AJ38" s="350">
        <v>3.6858104715418727E-3</v>
      </c>
      <c r="AK38" s="349">
        <v>0</v>
      </c>
      <c r="AL38" s="349">
        <v>1.1525649386479001E-2</v>
      </c>
      <c r="AM38" s="350">
        <v>0</v>
      </c>
      <c r="AN38" s="350">
        <v>4.3689108911441066E-3</v>
      </c>
      <c r="AO38" s="349">
        <v>0</v>
      </c>
      <c r="AP38" s="349">
        <v>-1.0999331307741986E-2</v>
      </c>
      <c r="AQ38" s="350">
        <v>0</v>
      </c>
      <c r="AR38" s="350">
        <v>-2.295905434903503E-3</v>
      </c>
      <c r="AS38" s="349">
        <v>0</v>
      </c>
      <c r="AT38" s="349">
        <v>5.3586500112903779E-5</v>
      </c>
      <c r="AU38" s="350">
        <v>0</v>
      </c>
      <c r="AV38" s="350">
        <v>8.2255471399211716E-3</v>
      </c>
      <c r="AW38" s="351">
        <v>0</v>
      </c>
      <c r="AX38" s="351">
        <v>0</v>
      </c>
      <c r="AY38" s="350">
        <v>-500</v>
      </c>
      <c r="AZ38" s="350">
        <v>0</v>
      </c>
      <c r="BA38" s="349">
        <v>0</v>
      </c>
      <c r="BB38" s="349">
        <v>-6.3380962476085323E-4</v>
      </c>
      <c r="BC38" s="350">
        <v>0</v>
      </c>
      <c r="BD38" s="350">
        <v>-8.4958272234622892E-2</v>
      </c>
      <c r="BE38" s="349">
        <v>0</v>
      </c>
      <c r="BF38" s="349">
        <v>0</v>
      </c>
      <c r="BG38" s="350">
        <v>-500</v>
      </c>
      <c r="BH38" s="350">
        <v>0</v>
      </c>
      <c r="BI38" s="349">
        <v>-750</v>
      </c>
      <c r="BJ38" s="349">
        <v>0</v>
      </c>
      <c r="BK38" s="350">
        <v>-100</v>
      </c>
      <c r="BL38" s="350">
        <v>0</v>
      </c>
      <c r="BM38" s="349">
        <v>0</v>
      </c>
      <c r="BN38" s="349">
        <v>0</v>
      </c>
      <c r="BO38" s="350">
        <v>0</v>
      </c>
      <c r="BP38" s="350">
        <v>0</v>
      </c>
      <c r="BQ38" s="349">
        <v>-250</v>
      </c>
      <c r="BR38" s="349">
        <v>0</v>
      </c>
      <c r="BS38" s="350">
        <v>0</v>
      </c>
      <c r="BT38" s="350">
        <v>0</v>
      </c>
      <c r="BU38" s="349">
        <v>0</v>
      </c>
      <c r="BV38" s="349">
        <v>0</v>
      </c>
      <c r="BW38" s="350">
        <v>0</v>
      </c>
      <c r="BX38" s="350">
        <v>0</v>
      </c>
      <c r="BY38" s="349">
        <v>0</v>
      </c>
      <c r="BZ38" s="349">
        <v>0</v>
      </c>
      <c r="CA38" s="350">
        <v>0</v>
      </c>
      <c r="CB38" s="350">
        <v>0</v>
      </c>
      <c r="CC38" s="349">
        <v>0</v>
      </c>
      <c r="CD38" s="349">
        <v>0</v>
      </c>
      <c r="CE38" s="350">
        <v>0</v>
      </c>
      <c r="CF38" s="350">
        <v>0</v>
      </c>
      <c r="CG38" s="349">
        <v>0</v>
      </c>
      <c r="CH38" s="349">
        <v>0</v>
      </c>
      <c r="CI38" s="350">
        <v>0</v>
      </c>
      <c r="CJ38" s="350">
        <v>0</v>
      </c>
      <c r="CK38" s="349">
        <v>0</v>
      </c>
      <c r="CL38" s="349">
        <v>0</v>
      </c>
      <c r="CM38" s="350">
        <v>0</v>
      </c>
      <c r="CN38" s="350">
        <v>0</v>
      </c>
      <c r="CO38" s="349">
        <v>0</v>
      </c>
      <c r="CP38" s="349">
        <v>0</v>
      </c>
      <c r="CQ38" s="350">
        <v>0</v>
      </c>
      <c r="CR38" s="350">
        <v>0</v>
      </c>
      <c r="CS38" s="349">
        <v>0</v>
      </c>
      <c r="CT38" s="349">
        <v>0</v>
      </c>
      <c r="CU38" s="350">
        <v>0</v>
      </c>
      <c r="CV38" s="350">
        <v>0</v>
      </c>
      <c r="CW38" s="349">
        <v>0</v>
      </c>
      <c r="CX38" s="349">
        <v>2.0739500003515154E-4</v>
      </c>
      <c r="CY38" s="350">
        <v>0</v>
      </c>
      <c r="CZ38" s="350">
        <v>173.43281988863242</v>
      </c>
      <c r="DA38" s="349">
        <v>0</v>
      </c>
      <c r="DB38" s="349">
        <v>93.145631268609691</v>
      </c>
      <c r="DC38" s="350">
        <v>0</v>
      </c>
      <c r="DD38" s="350">
        <v>65.377519556375375</v>
      </c>
      <c r="DE38" s="349">
        <v>0</v>
      </c>
      <c r="DF38" s="349">
        <v>197.74299823680519</v>
      </c>
      <c r="DG38" s="350">
        <v>0</v>
      </c>
      <c r="DH38" s="350">
        <v>-176.33231846366758</v>
      </c>
      <c r="DI38" s="349">
        <v>0</v>
      </c>
      <c r="DJ38" s="349">
        <v>-71.201445647194987</v>
      </c>
      <c r="DK38" s="350">
        <v>0</v>
      </c>
      <c r="DL38" s="350">
        <v>311.34505526427705</v>
      </c>
      <c r="DM38" s="349">
        <v>0</v>
      </c>
      <c r="DN38" s="349">
        <v>-399.15575247209</v>
      </c>
      <c r="DO38" s="350">
        <v>0</v>
      </c>
      <c r="DP38" s="350">
        <v>-99.795558006849632</v>
      </c>
    </row>
    <row r="39" spans="1:120" ht="15" customHeight="1" x14ac:dyDescent="0.2">
      <c r="G39" s="347" t="s">
        <v>597</v>
      </c>
      <c r="I39" s="349">
        <v>0</v>
      </c>
      <c r="J39" s="349">
        <v>0</v>
      </c>
      <c r="K39" s="350">
        <v>0</v>
      </c>
      <c r="L39" s="350">
        <v>0</v>
      </c>
      <c r="M39" s="349">
        <v>0</v>
      </c>
      <c r="N39" s="349">
        <v>0</v>
      </c>
      <c r="O39" s="350">
        <v>0</v>
      </c>
      <c r="P39" s="350">
        <v>0</v>
      </c>
      <c r="Q39" s="349">
        <v>0</v>
      </c>
      <c r="R39" s="349">
        <v>0</v>
      </c>
      <c r="S39" s="350">
        <v>0</v>
      </c>
      <c r="T39" s="350">
        <v>0</v>
      </c>
      <c r="U39" s="349">
        <v>0</v>
      </c>
      <c r="V39" s="349">
        <v>0</v>
      </c>
      <c r="W39" s="350">
        <v>0</v>
      </c>
      <c r="X39" s="350">
        <v>0</v>
      </c>
      <c r="Y39" s="349">
        <v>0</v>
      </c>
      <c r="Z39" s="349">
        <v>0</v>
      </c>
      <c r="AA39" s="350">
        <v>0</v>
      </c>
      <c r="AB39" s="350">
        <v>0</v>
      </c>
      <c r="AC39" s="349">
        <v>0</v>
      </c>
      <c r="AD39" s="349">
        <v>0</v>
      </c>
      <c r="AE39" s="350">
        <v>0</v>
      </c>
      <c r="AF39" s="350">
        <v>0</v>
      </c>
      <c r="AG39" s="349">
        <v>0</v>
      </c>
      <c r="AH39" s="349">
        <v>0</v>
      </c>
      <c r="AI39" s="350">
        <v>0</v>
      </c>
      <c r="AJ39" s="350">
        <v>0</v>
      </c>
      <c r="AK39" s="349">
        <v>0</v>
      </c>
      <c r="AL39" s="349">
        <v>0</v>
      </c>
      <c r="AM39" s="350">
        <v>0</v>
      </c>
      <c r="AN39" s="350">
        <v>0</v>
      </c>
      <c r="AO39" s="349">
        <v>0</v>
      </c>
      <c r="AP39" s="349">
        <v>0</v>
      </c>
      <c r="AQ39" s="350">
        <v>0</v>
      </c>
      <c r="AR39" s="350">
        <v>0</v>
      </c>
      <c r="AS39" s="349">
        <v>0</v>
      </c>
      <c r="AT39" s="349">
        <v>0</v>
      </c>
      <c r="AU39" s="350">
        <v>0</v>
      </c>
      <c r="AV39" s="350">
        <v>0</v>
      </c>
      <c r="AW39" s="351">
        <v>0</v>
      </c>
      <c r="AX39" s="351">
        <v>0</v>
      </c>
      <c r="AY39" s="350">
        <v>0</v>
      </c>
      <c r="AZ39" s="350">
        <v>0</v>
      </c>
      <c r="BA39" s="349">
        <v>0</v>
      </c>
      <c r="BB39" s="349">
        <v>0</v>
      </c>
      <c r="BC39" s="350">
        <v>0</v>
      </c>
      <c r="BD39" s="350">
        <v>0</v>
      </c>
      <c r="BE39" s="349">
        <v>0</v>
      </c>
      <c r="BF39" s="349">
        <v>0</v>
      </c>
      <c r="BG39" s="350">
        <v>0</v>
      </c>
      <c r="BH39" s="350">
        <v>0</v>
      </c>
      <c r="BI39" s="349">
        <v>0</v>
      </c>
      <c r="BJ39" s="349">
        <v>0</v>
      </c>
      <c r="BK39" s="350">
        <v>0</v>
      </c>
      <c r="BL39" s="350">
        <v>0</v>
      </c>
      <c r="BM39" s="349">
        <v>0</v>
      </c>
      <c r="BN39" s="349">
        <v>0</v>
      </c>
      <c r="BO39" s="350">
        <v>0</v>
      </c>
      <c r="BP39" s="350">
        <v>0</v>
      </c>
      <c r="BQ39" s="349">
        <v>0</v>
      </c>
      <c r="BR39" s="349">
        <v>0</v>
      </c>
      <c r="BS39" s="350">
        <v>0</v>
      </c>
      <c r="BT39" s="350">
        <v>0</v>
      </c>
      <c r="BU39" s="349">
        <v>0</v>
      </c>
      <c r="BV39" s="349">
        <v>0</v>
      </c>
      <c r="BW39" s="350">
        <v>0</v>
      </c>
      <c r="BX39" s="350">
        <v>0</v>
      </c>
      <c r="BY39" s="349">
        <v>0</v>
      </c>
      <c r="BZ39" s="349">
        <v>0</v>
      </c>
      <c r="CA39" s="350">
        <v>0</v>
      </c>
      <c r="CB39" s="350">
        <v>0</v>
      </c>
      <c r="CC39" s="349">
        <v>0</v>
      </c>
      <c r="CD39" s="349">
        <v>0</v>
      </c>
      <c r="CE39" s="350">
        <v>0</v>
      </c>
      <c r="CF39" s="350">
        <v>0</v>
      </c>
      <c r="CG39" s="349">
        <v>0</v>
      </c>
      <c r="CH39" s="349">
        <v>0</v>
      </c>
      <c r="CI39" s="350">
        <v>0</v>
      </c>
      <c r="CJ39" s="350">
        <v>0</v>
      </c>
      <c r="CK39" s="349">
        <v>0</v>
      </c>
      <c r="CL39" s="349">
        <v>0</v>
      </c>
      <c r="CM39" s="350">
        <v>0</v>
      </c>
      <c r="CN39" s="350">
        <v>0</v>
      </c>
      <c r="CO39" s="349">
        <v>0</v>
      </c>
      <c r="CP39" s="349">
        <v>0</v>
      </c>
      <c r="CQ39" s="350">
        <v>0</v>
      </c>
      <c r="CR39" s="350">
        <v>0</v>
      </c>
      <c r="CS39" s="349">
        <v>0</v>
      </c>
      <c r="CT39" s="349">
        <v>0</v>
      </c>
      <c r="CU39" s="350">
        <v>0</v>
      </c>
      <c r="CV39" s="350">
        <v>0</v>
      </c>
      <c r="CW39" s="349">
        <v>0</v>
      </c>
      <c r="CX39" s="349">
        <v>0</v>
      </c>
      <c r="CY39" s="350">
        <v>0</v>
      </c>
      <c r="CZ39" s="350">
        <v>0</v>
      </c>
      <c r="DA39" s="349">
        <v>0</v>
      </c>
      <c r="DB39" s="349">
        <v>0</v>
      </c>
      <c r="DC39" s="350">
        <v>0</v>
      </c>
      <c r="DD39" s="350">
        <v>0</v>
      </c>
      <c r="DE39" s="349">
        <v>0</v>
      </c>
      <c r="DF39" s="349">
        <v>0</v>
      </c>
      <c r="DG39" s="350">
        <v>0</v>
      </c>
      <c r="DH39" s="350">
        <v>0</v>
      </c>
      <c r="DI39" s="349">
        <v>0</v>
      </c>
      <c r="DJ39" s="349">
        <v>0</v>
      </c>
      <c r="DK39" s="350">
        <v>0</v>
      </c>
      <c r="DL39" s="350">
        <v>0</v>
      </c>
      <c r="DM39" s="349">
        <v>0</v>
      </c>
      <c r="DN39" s="349">
        <v>0</v>
      </c>
      <c r="DO39" s="350">
        <v>0</v>
      </c>
      <c r="DP39" s="350">
        <v>0</v>
      </c>
    </row>
    <row r="40" spans="1:120" ht="15" customHeight="1" x14ac:dyDescent="0.2">
      <c r="G40" s="347" t="s">
        <v>598</v>
      </c>
      <c r="I40" s="349">
        <v>0</v>
      </c>
      <c r="J40" s="349">
        <v>5.4235023426958406E-2</v>
      </c>
      <c r="K40" s="350">
        <v>500</v>
      </c>
      <c r="L40" s="350">
        <v>-7.3194102673088679E-3</v>
      </c>
      <c r="M40" s="349">
        <v>0</v>
      </c>
      <c r="N40" s="349">
        <v>-5.813614078687479E-2</v>
      </c>
      <c r="O40" s="350">
        <v>0</v>
      </c>
      <c r="P40" s="350">
        <v>-9.9754275380573301</v>
      </c>
      <c r="Q40" s="349">
        <v>0</v>
      </c>
      <c r="R40" s="349">
        <v>-1.3945830020512529E-3</v>
      </c>
      <c r="S40" s="350">
        <v>500</v>
      </c>
      <c r="T40" s="350">
        <v>9.4172179803182026</v>
      </c>
      <c r="U40" s="349">
        <v>750</v>
      </c>
      <c r="V40" s="349">
        <v>-9.2566296999229927</v>
      </c>
      <c r="W40" s="350">
        <v>100</v>
      </c>
      <c r="X40" s="350">
        <v>-0.14694460790848479</v>
      </c>
      <c r="Y40" s="349">
        <v>0</v>
      </c>
      <c r="Z40" s="349">
        <v>1.2865075204382403E-4</v>
      </c>
      <c r="AA40" s="350">
        <v>0</v>
      </c>
      <c r="AB40" s="350">
        <v>-1.2856257569526797E-5</v>
      </c>
      <c r="AC40" s="349">
        <v>250</v>
      </c>
      <c r="AD40" s="349">
        <v>1.4592336642213488E-3</v>
      </c>
      <c r="AE40" s="350">
        <v>0</v>
      </c>
      <c r="AF40" s="350">
        <v>-0.2218047865516799</v>
      </c>
      <c r="AG40" s="349">
        <v>0</v>
      </c>
      <c r="AH40" s="349">
        <v>3.1031446395419632E-3</v>
      </c>
      <c r="AI40" s="350">
        <v>0</v>
      </c>
      <c r="AJ40" s="350">
        <v>3.6858104715418727E-3</v>
      </c>
      <c r="AK40" s="349">
        <v>0</v>
      </c>
      <c r="AL40" s="349">
        <v>1.1525649386479001E-2</v>
      </c>
      <c r="AM40" s="350">
        <v>0</v>
      </c>
      <c r="AN40" s="350">
        <v>4.3689108911441066E-3</v>
      </c>
      <c r="AO40" s="349">
        <v>0</v>
      </c>
      <c r="AP40" s="349">
        <v>-1.0999331307741986E-2</v>
      </c>
      <c r="AQ40" s="350">
        <v>0</v>
      </c>
      <c r="AR40" s="350">
        <v>-2.295905434903503E-3</v>
      </c>
      <c r="AS40" s="349">
        <v>0</v>
      </c>
      <c r="AT40" s="349">
        <v>5.3586500112903779E-5</v>
      </c>
      <c r="AU40" s="350">
        <v>0</v>
      </c>
      <c r="AV40" s="350">
        <v>8.2255471399211716E-3</v>
      </c>
      <c r="AW40" s="351">
        <v>0</v>
      </c>
      <c r="AX40" s="351">
        <v>0</v>
      </c>
      <c r="AY40" s="350">
        <v>-500</v>
      </c>
      <c r="AZ40" s="350">
        <v>0</v>
      </c>
      <c r="BA40" s="349">
        <v>0</v>
      </c>
      <c r="BB40" s="349">
        <v>-6.3380962476085323E-4</v>
      </c>
      <c r="BC40" s="350">
        <v>0</v>
      </c>
      <c r="BD40" s="350">
        <v>-8.4958272234622892E-2</v>
      </c>
      <c r="BE40" s="349">
        <v>0</v>
      </c>
      <c r="BF40" s="349">
        <v>0</v>
      </c>
      <c r="BG40" s="350">
        <v>-500</v>
      </c>
      <c r="BH40" s="350">
        <v>0</v>
      </c>
      <c r="BI40" s="349">
        <v>-750</v>
      </c>
      <c r="BJ40" s="349">
        <v>0</v>
      </c>
      <c r="BK40" s="350">
        <v>-100</v>
      </c>
      <c r="BL40" s="350">
        <v>0</v>
      </c>
      <c r="BM40" s="349">
        <v>0</v>
      </c>
      <c r="BN40" s="349">
        <v>0</v>
      </c>
      <c r="BO40" s="350">
        <v>0</v>
      </c>
      <c r="BP40" s="350">
        <v>0</v>
      </c>
      <c r="BQ40" s="349">
        <v>-250</v>
      </c>
      <c r="BR40" s="349">
        <v>0</v>
      </c>
      <c r="BS40" s="350">
        <v>0</v>
      </c>
      <c r="BT40" s="350">
        <v>0</v>
      </c>
      <c r="BU40" s="349">
        <v>0</v>
      </c>
      <c r="BV40" s="349">
        <v>0</v>
      </c>
      <c r="BW40" s="350">
        <v>0</v>
      </c>
      <c r="BX40" s="350">
        <v>0</v>
      </c>
      <c r="BY40" s="349">
        <v>0</v>
      </c>
      <c r="BZ40" s="349">
        <v>0</v>
      </c>
      <c r="CA40" s="350">
        <v>0</v>
      </c>
      <c r="CB40" s="350">
        <v>0</v>
      </c>
      <c r="CC40" s="349">
        <v>0</v>
      </c>
      <c r="CD40" s="349">
        <v>0</v>
      </c>
      <c r="CE40" s="350">
        <v>0</v>
      </c>
      <c r="CF40" s="350">
        <v>0</v>
      </c>
      <c r="CG40" s="349">
        <v>0</v>
      </c>
      <c r="CH40" s="349">
        <v>0</v>
      </c>
      <c r="CI40" s="350">
        <v>0</v>
      </c>
      <c r="CJ40" s="350">
        <v>0</v>
      </c>
      <c r="CK40" s="349">
        <v>0</v>
      </c>
      <c r="CL40" s="349">
        <v>0</v>
      </c>
      <c r="CM40" s="350">
        <v>0</v>
      </c>
      <c r="CN40" s="350">
        <v>0</v>
      </c>
      <c r="CO40" s="349">
        <v>0</v>
      </c>
      <c r="CP40" s="349">
        <v>0</v>
      </c>
      <c r="CQ40" s="350">
        <v>0</v>
      </c>
      <c r="CR40" s="350">
        <v>0</v>
      </c>
      <c r="CS40" s="349">
        <v>0</v>
      </c>
      <c r="CT40" s="349">
        <v>0</v>
      </c>
      <c r="CU40" s="350">
        <v>0</v>
      </c>
      <c r="CV40" s="350">
        <v>0</v>
      </c>
      <c r="CW40" s="349">
        <v>0</v>
      </c>
      <c r="CX40" s="349">
        <v>2.0739500003515154E-4</v>
      </c>
      <c r="CY40" s="350">
        <v>0</v>
      </c>
      <c r="CZ40" s="350">
        <v>173.43281988863242</v>
      </c>
      <c r="DA40" s="349">
        <v>0</v>
      </c>
      <c r="DB40" s="349">
        <v>93.145631268609691</v>
      </c>
      <c r="DC40" s="350">
        <v>0</v>
      </c>
      <c r="DD40" s="350">
        <v>65.377519556375375</v>
      </c>
      <c r="DE40" s="349">
        <v>0</v>
      </c>
      <c r="DF40" s="349">
        <v>197.74299823680519</v>
      </c>
      <c r="DG40" s="350">
        <v>0</v>
      </c>
      <c r="DH40" s="350">
        <v>-176.33231846366758</v>
      </c>
      <c r="DI40" s="349">
        <v>0</v>
      </c>
      <c r="DJ40" s="349">
        <v>-71.201445647194987</v>
      </c>
      <c r="DK40" s="350">
        <v>0</v>
      </c>
      <c r="DL40" s="350">
        <v>311.34505526427705</v>
      </c>
      <c r="DM40" s="349">
        <v>0</v>
      </c>
      <c r="DN40" s="349">
        <v>-399.15575247209</v>
      </c>
      <c r="DO40" s="350">
        <v>0</v>
      </c>
      <c r="DP40" s="350">
        <v>-99.795558006849632</v>
      </c>
    </row>
    <row r="41" spans="1:120" ht="15" customHeight="1" x14ac:dyDescent="0.2">
      <c r="F41" s="347" t="s">
        <v>544</v>
      </c>
      <c r="I41" s="349">
        <v>406.46455952335828</v>
      </c>
      <c r="J41" s="349">
        <v>0</v>
      </c>
      <c r="K41" s="350">
        <v>34.79999999999999</v>
      </c>
      <c r="L41" s="350">
        <v>0</v>
      </c>
      <c r="M41" s="349">
        <v>1379.4625651448434</v>
      </c>
      <c r="N41" s="349">
        <v>0</v>
      </c>
      <c r="O41" s="350">
        <v>-477.4</v>
      </c>
      <c r="P41" s="350">
        <v>0</v>
      </c>
      <c r="Q41" s="349">
        <v>534.82224252850494</v>
      </c>
      <c r="R41" s="349">
        <v>0</v>
      </c>
      <c r="S41" s="350">
        <v>129.53474055716913</v>
      </c>
      <c r="T41" s="350">
        <v>0</v>
      </c>
      <c r="U41" s="349">
        <v>-179.40944080762256</v>
      </c>
      <c r="V41" s="349">
        <v>0</v>
      </c>
      <c r="W41" s="350">
        <v>7.8186112916920329</v>
      </c>
      <c r="X41" s="350">
        <v>0</v>
      </c>
      <c r="Y41" s="349">
        <v>1092.8891774916501</v>
      </c>
      <c r="Z41" s="349">
        <v>0</v>
      </c>
      <c r="AA41" s="350">
        <v>603.59432130948483</v>
      </c>
      <c r="AB41" s="350">
        <v>0</v>
      </c>
      <c r="AC41" s="349">
        <v>-96.193329798986426</v>
      </c>
      <c r="AD41" s="349">
        <v>0</v>
      </c>
      <c r="AE41" s="350">
        <v>-138.31425085489039</v>
      </c>
      <c r="AF41" s="350">
        <v>0</v>
      </c>
      <c r="AG41" s="349">
        <v>-499.39070788053317</v>
      </c>
      <c r="AH41" s="349">
        <v>0</v>
      </c>
      <c r="AI41" s="350">
        <v>636.09771855572319</v>
      </c>
      <c r="AJ41" s="350">
        <v>0</v>
      </c>
      <c r="AK41" s="349">
        <v>-716.9439795233385</v>
      </c>
      <c r="AL41" s="349">
        <v>0</v>
      </c>
      <c r="AM41" s="350">
        <v>1326.8042250336425</v>
      </c>
      <c r="AN41" s="350">
        <v>0</v>
      </c>
      <c r="AO41" s="349">
        <v>-564.01470869654656</v>
      </c>
      <c r="AP41" s="349">
        <v>0</v>
      </c>
      <c r="AQ41" s="350">
        <v>-13.886150638629029</v>
      </c>
      <c r="AR41" s="350">
        <v>0</v>
      </c>
      <c r="AS41" s="349">
        <v>1918.7734927037604</v>
      </c>
      <c r="AT41" s="349">
        <v>0</v>
      </c>
      <c r="AU41" s="350">
        <v>-372.25035903414931</v>
      </c>
      <c r="AV41" s="350">
        <v>0</v>
      </c>
      <c r="AW41" s="351">
        <v>-415.07113996132</v>
      </c>
      <c r="AX41" s="351">
        <v>0</v>
      </c>
      <c r="AY41" s="350">
        <v>1734.3633046912291</v>
      </c>
      <c r="AZ41" s="350">
        <v>0</v>
      </c>
      <c r="BA41" s="349">
        <v>385.95578424879858</v>
      </c>
      <c r="BB41" s="349">
        <v>0</v>
      </c>
      <c r="BC41" s="350">
        <v>207.60724654309084</v>
      </c>
      <c r="BD41" s="350">
        <v>0</v>
      </c>
      <c r="BE41" s="349">
        <v>-26.311592927353399</v>
      </c>
      <c r="BF41" s="349">
        <v>0</v>
      </c>
      <c r="BG41" s="350">
        <v>2350.1356707518175</v>
      </c>
      <c r="BH41" s="350">
        <v>0</v>
      </c>
      <c r="BI41" s="349">
        <v>-318.02136401121334</v>
      </c>
      <c r="BJ41" s="349">
        <v>0</v>
      </c>
      <c r="BK41" s="350">
        <v>-522.26346618736522</v>
      </c>
      <c r="BL41" s="350">
        <v>0</v>
      </c>
      <c r="BM41" s="349">
        <v>1451.9383845973393</v>
      </c>
      <c r="BN41" s="349">
        <v>0</v>
      </c>
      <c r="BO41" s="350">
        <v>1353.2422032201837</v>
      </c>
      <c r="BP41" s="350">
        <v>0</v>
      </c>
      <c r="BQ41" s="349">
        <v>-195.49208633257544</v>
      </c>
      <c r="BR41" s="349">
        <v>0</v>
      </c>
      <c r="BS41" s="350">
        <v>-42.239617271410857</v>
      </c>
      <c r="BT41" s="350">
        <v>0</v>
      </c>
      <c r="BU41" s="349">
        <v>-500.75528493829313</v>
      </c>
      <c r="BV41" s="349">
        <v>0</v>
      </c>
      <c r="BW41" s="350">
        <v>-167.96550711405979</v>
      </c>
      <c r="BX41" s="350">
        <v>0</v>
      </c>
      <c r="BY41" s="349">
        <v>-358.95286712533425</v>
      </c>
      <c r="BZ41" s="349">
        <v>0</v>
      </c>
      <c r="CA41" s="350">
        <v>-1138.6834134475882</v>
      </c>
      <c r="CB41" s="350">
        <v>0</v>
      </c>
      <c r="CC41" s="349">
        <v>-644.69538141900273</v>
      </c>
      <c r="CD41" s="349">
        <v>0</v>
      </c>
      <c r="CE41" s="350">
        <v>36.855142437383769</v>
      </c>
      <c r="CF41" s="350">
        <v>0</v>
      </c>
      <c r="CG41" s="349">
        <v>-707.4573742419019</v>
      </c>
      <c r="CH41" s="349">
        <v>0</v>
      </c>
      <c r="CI41" s="350">
        <v>0.10689821533256411</v>
      </c>
      <c r="CJ41" s="350">
        <v>0</v>
      </c>
      <c r="CK41" s="349">
        <v>-387.70211611992704</v>
      </c>
      <c r="CL41" s="349">
        <v>0</v>
      </c>
      <c r="CM41" s="350">
        <v>190.96156861564796</v>
      </c>
      <c r="CN41" s="350">
        <v>0</v>
      </c>
      <c r="CO41" s="349">
        <v>215.14279259699444</v>
      </c>
      <c r="CP41" s="349">
        <v>0</v>
      </c>
      <c r="CQ41" s="350">
        <v>193.93202813834139</v>
      </c>
      <c r="CR41" s="350">
        <v>0</v>
      </c>
      <c r="CS41" s="349">
        <v>287.79594559007091</v>
      </c>
      <c r="CT41" s="349">
        <v>0</v>
      </c>
      <c r="CU41" s="350">
        <v>502.59685014188585</v>
      </c>
      <c r="CV41" s="350">
        <v>0</v>
      </c>
      <c r="CW41" s="349">
        <v>80.014986675295575</v>
      </c>
      <c r="CX41" s="349">
        <v>0</v>
      </c>
      <c r="CY41" s="350">
        <v>40.091388740788318</v>
      </c>
      <c r="CZ41" s="350">
        <v>0</v>
      </c>
      <c r="DA41" s="349">
        <v>90.052576908596563</v>
      </c>
      <c r="DB41" s="349">
        <v>0</v>
      </c>
      <c r="DC41" s="350">
        <v>104.16818080662441</v>
      </c>
      <c r="DD41" s="350">
        <v>0</v>
      </c>
      <c r="DE41" s="349">
        <v>119.06392336789783</v>
      </c>
      <c r="DF41" s="349">
        <v>0</v>
      </c>
      <c r="DG41" s="350">
        <v>-26.808359016935114</v>
      </c>
      <c r="DH41" s="350">
        <v>0</v>
      </c>
      <c r="DI41" s="349">
        <v>92.540190404261239</v>
      </c>
      <c r="DJ41" s="349">
        <v>0</v>
      </c>
      <c r="DK41" s="350">
        <v>-301.02963779098661</v>
      </c>
      <c r="DL41" s="350">
        <v>0</v>
      </c>
      <c r="DM41" s="349">
        <v>73.60999945758013</v>
      </c>
      <c r="DN41" s="349">
        <v>0</v>
      </c>
      <c r="DO41" s="350">
        <v>40.106584762369934</v>
      </c>
      <c r="DP41" s="350">
        <v>0</v>
      </c>
    </row>
    <row r="42" spans="1:120" ht="15" customHeight="1" x14ac:dyDescent="0.2">
      <c r="G42" s="347" t="s">
        <v>599</v>
      </c>
      <c r="I42" s="349">
        <v>174.20727569627635</v>
      </c>
      <c r="J42" s="349">
        <v>0</v>
      </c>
      <c r="K42" s="350">
        <v>-38.18</v>
      </c>
      <c r="L42" s="350">
        <v>0</v>
      </c>
      <c r="M42" s="349">
        <v>-99.127434855156508</v>
      </c>
      <c r="N42" s="349">
        <v>0</v>
      </c>
      <c r="O42" s="350">
        <v>0.85999999999999943</v>
      </c>
      <c r="P42" s="350">
        <v>0</v>
      </c>
      <c r="Q42" s="349">
        <v>-141.08932313625712</v>
      </c>
      <c r="R42" s="349">
        <v>0</v>
      </c>
      <c r="S42" s="350">
        <v>91.389933213392879</v>
      </c>
      <c r="T42" s="350">
        <v>0</v>
      </c>
      <c r="U42" s="349">
        <v>0.91455954266659134</v>
      </c>
      <c r="V42" s="349">
        <v>0</v>
      </c>
      <c r="W42" s="350">
        <v>-30.747708129446675</v>
      </c>
      <c r="X42" s="350">
        <v>0</v>
      </c>
      <c r="Y42" s="349">
        <v>125.74466753189355</v>
      </c>
      <c r="Z42" s="349">
        <v>0</v>
      </c>
      <c r="AA42" s="350">
        <v>-71.340570858718849</v>
      </c>
      <c r="AB42" s="350">
        <v>0</v>
      </c>
      <c r="AC42" s="349">
        <v>-67.327390578750709</v>
      </c>
      <c r="AD42" s="349">
        <v>0</v>
      </c>
      <c r="AE42" s="350">
        <v>-159.81009492123471</v>
      </c>
      <c r="AF42" s="350">
        <v>0</v>
      </c>
      <c r="AG42" s="349">
        <v>-96.45278267659036</v>
      </c>
      <c r="AH42" s="349">
        <v>0</v>
      </c>
      <c r="AI42" s="350">
        <v>-97.837321828979839</v>
      </c>
      <c r="AJ42" s="350">
        <v>0</v>
      </c>
      <c r="AK42" s="349">
        <v>-215.42796349498178</v>
      </c>
      <c r="AL42" s="349">
        <v>0</v>
      </c>
      <c r="AM42" s="350">
        <v>17.287212091048183</v>
      </c>
      <c r="AN42" s="350">
        <v>0</v>
      </c>
      <c r="AO42" s="349">
        <v>-19.321358891640394</v>
      </c>
      <c r="AP42" s="349">
        <v>0</v>
      </c>
      <c r="AQ42" s="350">
        <v>20.904861201947401</v>
      </c>
      <c r="AR42" s="350">
        <v>0</v>
      </c>
      <c r="AS42" s="349">
        <v>38.458919825220107</v>
      </c>
      <c r="AT42" s="349">
        <v>0</v>
      </c>
      <c r="AU42" s="350">
        <v>-3.6309558017101704</v>
      </c>
      <c r="AV42" s="350">
        <v>0</v>
      </c>
      <c r="AW42" s="351">
        <v>-1.2657350402177858</v>
      </c>
      <c r="AX42" s="351">
        <v>0</v>
      </c>
      <c r="AY42" s="350">
        <v>50.892267474893494</v>
      </c>
      <c r="AZ42" s="350">
        <v>0</v>
      </c>
      <c r="BA42" s="349">
        <v>-8.4507913796530048</v>
      </c>
      <c r="BB42" s="349">
        <v>0</v>
      </c>
      <c r="BC42" s="350">
        <v>39.329284997146573</v>
      </c>
      <c r="BD42" s="350">
        <v>0</v>
      </c>
      <c r="BE42" s="349">
        <v>-6.2609494163837986</v>
      </c>
      <c r="BF42" s="349">
        <v>0</v>
      </c>
      <c r="BG42" s="350">
        <v>-30.295676079253564</v>
      </c>
      <c r="BH42" s="350">
        <v>0</v>
      </c>
      <c r="BI42" s="349">
        <v>-24.338889332067112</v>
      </c>
      <c r="BJ42" s="349">
        <v>0</v>
      </c>
      <c r="BK42" s="350">
        <v>-35.541554430778532</v>
      </c>
      <c r="BL42" s="350">
        <v>0</v>
      </c>
      <c r="BM42" s="349">
        <v>0.32152307277741698</v>
      </c>
      <c r="BN42" s="349">
        <v>0</v>
      </c>
      <c r="BO42" s="350">
        <v>-1.5349961645752206</v>
      </c>
      <c r="BP42" s="350">
        <v>0</v>
      </c>
      <c r="BQ42" s="349">
        <v>-3.0314822799238827</v>
      </c>
      <c r="BR42" s="349">
        <v>0</v>
      </c>
      <c r="BS42" s="350">
        <v>58.776183563439126</v>
      </c>
      <c r="BT42" s="350">
        <v>0</v>
      </c>
      <c r="BU42" s="349">
        <v>-70.385951887861012</v>
      </c>
      <c r="BV42" s="349">
        <v>0</v>
      </c>
      <c r="BW42" s="350">
        <v>-46.173359085594868</v>
      </c>
      <c r="BX42" s="350">
        <v>0</v>
      </c>
      <c r="BY42" s="349">
        <v>-1.7471267642253346E-2</v>
      </c>
      <c r="BZ42" s="349">
        <v>0</v>
      </c>
      <c r="CA42" s="350">
        <v>-5.3499406933856966</v>
      </c>
      <c r="CB42" s="350">
        <v>0</v>
      </c>
      <c r="CC42" s="349">
        <v>2.766470129782153</v>
      </c>
      <c r="CD42" s="349">
        <v>0</v>
      </c>
      <c r="CE42" s="350">
        <v>-3.1811995116640754</v>
      </c>
      <c r="CF42" s="350">
        <v>0</v>
      </c>
      <c r="CG42" s="349">
        <v>-2.3751686490446176</v>
      </c>
      <c r="CH42" s="349">
        <v>0</v>
      </c>
      <c r="CI42" s="350">
        <v>0.53283452823018673</v>
      </c>
      <c r="CJ42" s="350">
        <v>0</v>
      </c>
      <c r="CK42" s="349">
        <v>5.1755540068647381</v>
      </c>
      <c r="CL42" s="349">
        <v>0</v>
      </c>
      <c r="CM42" s="350">
        <v>2.1480557699831189</v>
      </c>
      <c r="CN42" s="350">
        <v>0</v>
      </c>
      <c r="CO42" s="349">
        <v>18.912751814745707</v>
      </c>
      <c r="CP42" s="349">
        <v>0</v>
      </c>
      <c r="CQ42" s="350">
        <v>3.5442116850447176</v>
      </c>
      <c r="CR42" s="350">
        <v>0</v>
      </c>
      <c r="CS42" s="349">
        <v>116.00679093033887</v>
      </c>
      <c r="CT42" s="349">
        <v>0</v>
      </c>
      <c r="CU42" s="350">
        <v>313.23089060288646</v>
      </c>
      <c r="CV42" s="350">
        <v>0</v>
      </c>
      <c r="CW42" s="349">
        <v>-132.56561773304031</v>
      </c>
      <c r="CX42" s="349">
        <v>0</v>
      </c>
      <c r="CY42" s="350">
        <v>-164.18507372516012</v>
      </c>
      <c r="CZ42" s="350">
        <v>0</v>
      </c>
      <c r="DA42" s="349">
        <v>-138.11612507021175</v>
      </c>
      <c r="DB42" s="349">
        <v>0</v>
      </c>
      <c r="DC42" s="350">
        <v>-69.540168191299557</v>
      </c>
      <c r="DD42" s="350">
        <v>0</v>
      </c>
      <c r="DE42" s="349">
        <v>-28.651833915431705</v>
      </c>
      <c r="DF42" s="349">
        <v>0</v>
      </c>
      <c r="DG42" s="350">
        <v>18.855964366715867</v>
      </c>
      <c r="DH42" s="350">
        <v>0</v>
      </c>
      <c r="DI42" s="349">
        <v>-14.478965284667769</v>
      </c>
      <c r="DJ42" s="349">
        <v>0</v>
      </c>
      <c r="DK42" s="350">
        <v>-13.466320600029302</v>
      </c>
      <c r="DL42" s="350">
        <v>0</v>
      </c>
      <c r="DM42" s="349">
        <v>12.846229961144202</v>
      </c>
      <c r="DN42" s="349">
        <v>0</v>
      </c>
      <c r="DO42" s="350">
        <v>-8.7340338142607088</v>
      </c>
      <c r="DP42" s="350">
        <v>0</v>
      </c>
    </row>
    <row r="43" spans="1:120" ht="15" customHeight="1" x14ac:dyDescent="0.2">
      <c r="G43" s="347" t="s">
        <v>598</v>
      </c>
      <c r="I43" s="349">
        <v>232.25728382708192</v>
      </c>
      <c r="J43" s="349">
        <v>0</v>
      </c>
      <c r="K43" s="350">
        <v>72.97999999999999</v>
      </c>
      <c r="L43" s="350">
        <v>0</v>
      </c>
      <c r="M43" s="349">
        <v>1478.59</v>
      </c>
      <c r="N43" s="349">
        <v>0</v>
      </c>
      <c r="O43" s="350">
        <v>-478.26</v>
      </c>
      <c r="P43" s="350">
        <v>0</v>
      </c>
      <c r="Q43" s="349">
        <v>675.91156566476207</v>
      </c>
      <c r="R43" s="349">
        <v>0</v>
      </c>
      <c r="S43" s="350">
        <v>38.144807343776236</v>
      </c>
      <c r="T43" s="350">
        <v>0</v>
      </c>
      <c r="U43" s="349">
        <v>-180.32400035028914</v>
      </c>
      <c r="V43" s="349">
        <v>0</v>
      </c>
      <c r="W43" s="350">
        <v>38.566319421138708</v>
      </c>
      <c r="X43" s="350">
        <v>0</v>
      </c>
      <c r="Y43" s="349">
        <v>967.14450995975653</v>
      </c>
      <c r="Z43" s="349">
        <v>0</v>
      </c>
      <c r="AA43" s="350">
        <v>674.93489216820365</v>
      </c>
      <c r="AB43" s="350">
        <v>0</v>
      </c>
      <c r="AC43" s="349">
        <v>-28.865939220235717</v>
      </c>
      <c r="AD43" s="349">
        <v>0</v>
      </c>
      <c r="AE43" s="350">
        <v>21.495844066344326</v>
      </c>
      <c r="AF43" s="350">
        <v>0</v>
      </c>
      <c r="AG43" s="349">
        <v>-402.93792520394283</v>
      </c>
      <c r="AH43" s="349">
        <v>0</v>
      </c>
      <c r="AI43" s="350">
        <v>733.93504038470303</v>
      </c>
      <c r="AJ43" s="350">
        <v>0</v>
      </c>
      <c r="AK43" s="349">
        <v>-501.51601602835672</v>
      </c>
      <c r="AL43" s="349">
        <v>0</v>
      </c>
      <c r="AM43" s="350">
        <v>1309.5170129425944</v>
      </c>
      <c r="AN43" s="350">
        <v>0</v>
      </c>
      <c r="AO43" s="349">
        <v>-544.69334980490612</v>
      </c>
      <c r="AP43" s="349">
        <v>0</v>
      </c>
      <c r="AQ43" s="350">
        <v>-34.791011840576431</v>
      </c>
      <c r="AR43" s="350">
        <v>0</v>
      </c>
      <c r="AS43" s="349">
        <v>1880.3145728785403</v>
      </c>
      <c r="AT43" s="349">
        <v>0</v>
      </c>
      <c r="AU43" s="350">
        <v>-368.61940323243914</v>
      </c>
      <c r="AV43" s="350">
        <v>0</v>
      </c>
      <c r="AW43" s="351">
        <v>-413.80540492110219</v>
      </c>
      <c r="AX43" s="351">
        <v>0</v>
      </c>
      <c r="AY43" s="350">
        <v>1683.4710372163356</v>
      </c>
      <c r="AZ43" s="350">
        <v>0</v>
      </c>
      <c r="BA43" s="349">
        <v>394.40657562845161</v>
      </c>
      <c r="BB43" s="349">
        <v>0</v>
      </c>
      <c r="BC43" s="350">
        <v>168.27796154594427</v>
      </c>
      <c r="BD43" s="350">
        <v>0</v>
      </c>
      <c r="BE43" s="349">
        <v>-20.0506435109696</v>
      </c>
      <c r="BF43" s="349">
        <v>0</v>
      </c>
      <c r="BG43" s="350">
        <v>2380.4313468310711</v>
      </c>
      <c r="BH43" s="350">
        <v>0</v>
      </c>
      <c r="BI43" s="349">
        <v>-293.6824746791462</v>
      </c>
      <c r="BJ43" s="349">
        <v>0</v>
      </c>
      <c r="BK43" s="350">
        <v>-486.72191175658668</v>
      </c>
      <c r="BL43" s="350">
        <v>0</v>
      </c>
      <c r="BM43" s="349">
        <v>1451.616861524562</v>
      </c>
      <c r="BN43" s="349">
        <v>0</v>
      </c>
      <c r="BO43" s="350">
        <v>1354.7771993847589</v>
      </c>
      <c r="BP43" s="350">
        <v>0</v>
      </c>
      <c r="BQ43" s="349">
        <v>-192.46060405265155</v>
      </c>
      <c r="BR43" s="349">
        <v>0</v>
      </c>
      <c r="BS43" s="350">
        <v>-101.01580083484998</v>
      </c>
      <c r="BT43" s="350">
        <v>0</v>
      </c>
      <c r="BU43" s="349">
        <v>-430.36933305043215</v>
      </c>
      <c r="BV43" s="349">
        <v>0</v>
      </c>
      <c r="BW43" s="350">
        <v>-121.79214802846494</v>
      </c>
      <c r="BX43" s="350">
        <v>0</v>
      </c>
      <c r="BY43" s="349">
        <v>-358.93539585769201</v>
      </c>
      <c r="BZ43" s="349">
        <v>0</v>
      </c>
      <c r="CA43" s="350">
        <v>-1133.3334727542026</v>
      </c>
      <c r="CB43" s="350">
        <v>0</v>
      </c>
      <c r="CC43" s="349">
        <v>-647.46185154878492</v>
      </c>
      <c r="CD43" s="349">
        <v>0</v>
      </c>
      <c r="CE43" s="350">
        <v>40.036341949047845</v>
      </c>
      <c r="CF43" s="350">
        <v>0</v>
      </c>
      <c r="CG43" s="349">
        <v>-705.08220559285724</v>
      </c>
      <c r="CH43" s="349">
        <v>0</v>
      </c>
      <c r="CI43" s="350">
        <v>-0.42593631289762263</v>
      </c>
      <c r="CJ43" s="350">
        <v>0</v>
      </c>
      <c r="CK43" s="349">
        <v>-392.87767012679177</v>
      </c>
      <c r="CL43" s="349">
        <v>0</v>
      </c>
      <c r="CM43" s="350">
        <v>188.81351284566483</v>
      </c>
      <c r="CN43" s="350">
        <v>0</v>
      </c>
      <c r="CO43" s="349">
        <v>196.23004078224872</v>
      </c>
      <c r="CP43" s="349">
        <v>0</v>
      </c>
      <c r="CQ43" s="350">
        <v>190.38781645329667</v>
      </c>
      <c r="CR43" s="350">
        <v>0</v>
      </c>
      <c r="CS43" s="349">
        <v>171.78915465973208</v>
      </c>
      <c r="CT43" s="349">
        <v>0</v>
      </c>
      <c r="CU43" s="350">
        <v>189.36595953899942</v>
      </c>
      <c r="CV43" s="350">
        <v>0</v>
      </c>
      <c r="CW43" s="349">
        <v>212.58060440833589</v>
      </c>
      <c r="CX43" s="349">
        <v>0</v>
      </c>
      <c r="CY43" s="350">
        <v>204.27646246594844</v>
      </c>
      <c r="CZ43" s="350">
        <v>0</v>
      </c>
      <c r="DA43" s="349">
        <v>228.16870197880831</v>
      </c>
      <c r="DB43" s="349">
        <v>0</v>
      </c>
      <c r="DC43" s="350">
        <v>173.70834899792396</v>
      </c>
      <c r="DD43" s="350">
        <v>0</v>
      </c>
      <c r="DE43" s="349">
        <v>147.71575728332954</v>
      </c>
      <c r="DF43" s="349">
        <v>0</v>
      </c>
      <c r="DG43" s="350">
        <v>-45.664323383650981</v>
      </c>
      <c r="DH43" s="350">
        <v>0</v>
      </c>
      <c r="DI43" s="349">
        <v>107.019155688929</v>
      </c>
      <c r="DJ43" s="349">
        <v>0</v>
      </c>
      <c r="DK43" s="350">
        <v>-287.56331719095732</v>
      </c>
      <c r="DL43" s="350">
        <v>0</v>
      </c>
      <c r="DM43" s="349">
        <v>60.763769496435927</v>
      </c>
      <c r="DN43" s="349">
        <v>0</v>
      </c>
      <c r="DO43" s="350">
        <v>48.840618576630639</v>
      </c>
      <c r="DP43" s="350">
        <v>0</v>
      </c>
    </row>
    <row r="44" spans="1:120" ht="15" customHeight="1" x14ac:dyDescent="0.2">
      <c r="A44" s="284"/>
      <c r="G44" s="348"/>
      <c r="H44" s="348" t="s">
        <v>600</v>
      </c>
      <c r="I44" s="349">
        <v>232.25728382708192</v>
      </c>
      <c r="J44" s="349">
        <v>0</v>
      </c>
      <c r="K44" s="350">
        <v>72.97999999999999</v>
      </c>
      <c r="L44" s="350">
        <v>0</v>
      </c>
      <c r="M44" s="349">
        <v>478.59</v>
      </c>
      <c r="N44" s="349">
        <v>0</v>
      </c>
      <c r="O44" s="350">
        <v>21.74</v>
      </c>
      <c r="P44" s="350">
        <v>0</v>
      </c>
      <c r="Q44" s="349">
        <v>675.91156566476207</v>
      </c>
      <c r="R44" s="349">
        <v>0</v>
      </c>
      <c r="S44" s="350">
        <v>38.144807343776236</v>
      </c>
      <c r="T44" s="350">
        <v>0</v>
      </c>
      <c r="U44" s="349">
        <v>-180.32400035028914</v>
      </c>
      <c r="V44" s="349">
        <v>0</v>
      </c>
      <c r="W44" s="350">
        <v>38.566319421138708</v>
      </c>
      <c r="X44" s="350">
        <v>0</v>
      </c>
      <c r="Y44" s="349">
        <v>-32.855490040243438</v>
      </c>
      <c r="Z44" s="349">
        <v>0</v>
      </c>
      <c r="AA44" s="350">
        <v>174.93489216820362</v>
      </c>
      <c r="AB44" s="350">
        <v>0</v>
      </c>
      <c r="AC44" s="349">
        <v>-28.865939220235717</v>
      </c>
      <c r="AD44" s="349">
        <v>0</v>
      </c>
      <c r="AE44" s="350">
        <v>-53.604155933655669</v>
      </c>
      <c r="AF44" s="350">
        <v>0</v>
      </c>
      <c r="AG44" s="349">
        <v>81.062074796057175</v>
      </c>
      <c r="AH44" s="349">
        <v>0</v>
      </c>
      <c r="AI44" s="350">
        <v>-124.06495961529701</v>
      </c>
      <c r="AJ44" s="350">
        <v>0</v>
      </c>
      <c r="AK44" s="349">
        <v>-467.51601602835672</v>
      </c>
      <c r="AL44" s="349">
        <v>0</v>
      </c>
      <c r="AM44" s="350">
        <v>-190.4829870574055</v>
      </c>
      <c r="AN44" s="350">
        <v>0</v>
      </c>
      <c r="AO44" s="349">
        <v>-552.95334980490611</v>
      </c>
      <c r="AP44" s="349">
        <v>0</v>
      </c>
      <c r="AQ44" s="350">
        <v>179.60898815942357</v>
      </c>
      <c r="AR44" s="350">
        <v>0</v>
      </c>
      <c r="AS44" s="349">
        <v>381.27457287854025</v>
      </c>
      <c r="AT44" s="349">
        <v>0</v>
      </c>
      <c r="AU44" s="350">
        <v>-368.61940323243914</v>
      </c>
      <c r="AV44" s="350">
        <v>0</v>
      </c>
      <c r="AW44" s="351">
        <v>-404.20540492110217</v>
      </c>
      <c r="AX44" s="351">
        <v>0</v>
      </c>
      <c r="AY44" s="350">
        <v>201.57103721633564</v>
      </c>
      <c r="AZ44" s="350">
        <v>0</v>
      </c>
      <c r="BA44" s="349">
        <v>394.40657562845161</v>
      </c>
      <c r="BB44" s="349">
        <v>0</v>
      </c>
      <c r="BC44" s="350">
        <v>168.29796154594428</v>
      </c>
      <c r="BD44" s="350">
        <v>0</v>
      </c>
      <c r="BE44" s="349">
        <v>-20.080643510969601</v>
      </c>
      <c r="BF44" s="349">
        <v>0</v>
      </c>
      <c r="BG44" s="350">
        <v>-119.56865316892869</v>
      </c>
      <c r="BH44" s="350">
        <v>0</v>
      </c>
      <c r="BI44" s="349">
        <v>-267.26247467914618</v>
      </c>
      <c r="BJ44" s="349">
        <v>0</v>
      </c>
      <c r="BK44" s="350">
        <v>-486.72191175658668</v>
      </c>
      <c r="BL44" s="350">
        <v>0</v>
      </c>
      <c r="BM44" s="349">
        <v>52.436861524562062</v>
      </c>
      <c r="BN44" s="349">
        <v>0</v>
      </c>
      <c r="BO44" s="350">
        <v>-147.12280061524115</v>
      </c>
      <c r="BP44" s="350">
        <v>0</v>
      </c>
      <c r="BQ44" s="349">
        <v>-192.48060405265156</v>
      </c>
      <c r="BR44" s="349">
        <v>0</v>
      </c>
      <c r="BS44" s="350">
        <v>-101.01580083484998</v>
      </c>
      <c r="BT44" s="350">
        <v>0</v>
      </c>
      <c r="BU44" s="349">
        <v>-290.20475949312453</v>
      </c>
      <c r="BV44" s="349">
        <v>0</v>
      </c>
      <c r="BW44" s="350">
        <v>-85.200642695408931</v>
      </c>
      <c r="BX44" s="350">
        <v>0</v>
      </c>
      <c r="BY44" s="349">
        <v>-20.225405536737135</v>
      </c>
      <c r="BZ44" s="349">
        <v>0</v>
      </c>
      <c r="CA44" s="350">
        <v>-35.165406938292939</v>
      </c>
      <c r="CB44" s="350">
        <v>0</v>
      </c>
      <c r="CC44" s="349">
        <v>-7.8338929545825549</v>
      </c>
      <c r="CD44" s="349">
        <v>0</v>
      </c>
      <c r="CE44" s="350">
        <v>-16.13945529869487</v>
      </c>
      <c r="CF44" s="350">
        <v>0</v>
      </c>
      <c r="CG44" s="349">
        <v>-0.66705229075532568</v>
      </c>
      <c r="CH44" s="349">
        <v>0</v>
      </c>
      <c r="CI44" s="350">
        <v>-0.42593631289762263</v>
      </c>
      <c r="CJ44" s="350">
        <v>0</v>
      </c>
      <c r="CK44" s="349">
        <v>-1.5846701267917969</v>
      </c>
      <c r="CL44" s="349">
        <v>0</v>
      </c>
      <c r="CM44" s="350">
        <v>0.15070959566486</v>
      </c>
      <c r="CN44" s="350">
        <v>0</v>
      </c>
      <c r="CO44" s="349">
        <v>19.610936907248689</v>
      </c>
      <c r="CP44" s="349">
        <v>0</v>
      </c>
      <c r="CQ44" s="350">
        <v>2.6558132032966868</v>
      </c>
      <c r="CR44" s="350">
        <v>0</v>
      </c>
      <c r="CS44" s="349">
        <v>-3.7738492152679513</v>
      </c>
      <c r="CT44" s="349">
        <v>0</v>
      </c>
      <c r="CU44" s="350">
        <v>0.50725628899944386</v>
      </c>
      <c r="CV44" s="350">
        <v>0</v>
      </c>
      <c r="CW44" s="349">
        <v>41.266800533335861</v>
      </c>
      <c r="CX44" s="349">
        <v>0</v>
      </c>
      <c r="CY44" s="350">
        <v>39.521559215948471</v>
      </c>
      <c r="CZ44" s="350">
        <v>0</v>
      </c>
      <c r="DA44" s="349">
        <v>49.310298103808307</v>
      </c>
      <c r="DB44" s="349">
        <v>0</v>
      </c>
      <c r="DC44" s="350">
        <v>-39.777116002075999</v>
      </c>
      <c r="DD44" s="350">
        <v>0</v>
      </c>
      <c r="DE44" s="349">
        <v>-29.488467216670465</v>
      </c>
      <c r="DF44" s="349">
        <v>0</v>
      </c>
      <c r="DG44" s="350">
        <v>58.504026076349007</v>
      </c>
      <c r="DH44" s="350">
        <v>0</v>
      </c>
      <c r="DI44" s="349">
        <v>107.019155688929</v>
      </c>
      <c r="DJ44" s="349">
        <v>0</v>
      </c>
      <c r="DK44" s="350">
        <v>11.035423009042628</v>
      </c>
      <c r="DL44" s="350">
        <v>0</v>
      </c>
      <c r="DM44" s="349">
        <v>75.03400440643594</v>
      </c>
      <c r="DN44" s="349">
        <v>0</v>
      </c>
      <c r="DO44" s="350">
        <v>78.603052061780559</v>
      </c>
      <c r="DP44" s="350">
        <v>0</v>
      </c>
    </row>
    <row r="45" spans="1:120" ht="15" customHeight="1" x14ac:dyDescent="0.2">
      <c r="G45" s="348"/>
      <c r="H45" s="348" t="s">
        <v>601</v>
      </c>
      <c r="I45" s="349"/>
      <c r="J45" s="349"/>
      <c r="K45" s="350"/>
      <c r="L45" s="350"/>
      <c r="M45" s="349"/>
      <c r="N45" s="349"/>
      <c r="O45" s="350"/>
      <c r="P45" s="350"/>
      <c r="Q45" s="349"/>
      <c r="R45" s="349"/>
      <c r="S45" s="350"/>
      <c r="T45" s="350"/>
      <c r="U45" s="349"/>
      <c r="V45" s="349"/>
      <c r="W45" s="350"/>
      <c r="X45" s="350"/>
      <c r="Y45" s="349">
        <v>0</v>
      </c>
      <c r="Z45" s="349">
        <v>0</v>
      </c>
      <c r="AA45" s="350">
        <v>0</v>
      </c>
      <c r="AB45" s="350"/>
      <c r="AC45" s="349"/>
      <c r="AD45" s="349"/>
      <c r="AE45" s="350">
        <v>75.099999999999994</v>
      </c>
      <c r="AF45" s="350"/>
      <c r="AG45" s="349">
        <v>16</v>
      </c>
      <c r="AH45" s="349">
        <v>0</v>
      </c>
      <c r="AI45" s="350">
        <v>208.00000000000003</v>
      </c>
      <c r="AJ45" s="350">
        <v>0</v>
      </c>
      <c r="AK45" s="349">
        <v>-34</v>
      </c>
      <c r="AL45" s="349">
        <v>0</v>
      </c>
      <c r="AM45" s="350">
        <v>0</v>
      </c>
      <c r="AN45" s="350">
        <v>0</v>
      </c>
      <c r="AO45" s="349">
        <v>8.2599999999999909</v>
      </c>
      <c r="AP45" s="349">
        <v>0</v>
      </c>
      <c r="AQ45" s="350">
        <v>-214.4</v>
      </c>
      <c r="AR45" s="350">
        <v>0</v>
      </c>
      <c r="AS45" s="349">
        <v>-0.96000000000000085</v>
      </c>
      <c r="AT45" s="349">
        <v>0</v>
      </c>
      <c r="AU45" s="350">
        <v>0</v>
      </c>
      <c r="AV45" s="350">
        <v>0</v>
      </c>
      <c r="AW45" s="351">
        <v>-9.6</v>
      </c>
      <c r="AX45" s="351">
        <v>0</v>
      </c>
      <c r="AY45" s="350">
        <v>-18.100000000000001</v>
      </c>
      <c r="AZ45" s="350">
        <v>0</v>
      </c>
      <c r="BA45" s="349">
        <v>0</v>
      </c>
      <c r="BB45" s="349">
        <v>0</v>
      </c>
      <c r="BC45" s="350">
        <v>-1.9999999999999574E-2</v>
      </c>
      <c r="BD45" s="350">
        <v>0</v>
      </c>
      <c r="BE45" s="349">
        <v>3.0000000000001137E-2</v>
      </c>
      <c r="BF45" s="349">
        <v>0</v>
      </c>
      <c r="BG45" s="350">
        <v>0</v>
      </c>
      <c r="BH45" s="350">
        <v>0</v>
      </c>
      <c r="BI45" s="349">
        <v>-26.42</v>
      </c>
      <c r="BJ45" s="349">
        <v>0</v>
      </c>
      <c r="BK45" s="350">
        <v>0</v>
      </c>
      <c r="BL45" s="350">
        <v>0</v>
      </c>
      <c r="BM45" s="349">
        <v>-0.81999999999999984</v>
      </c>
      <c r="BN45" s="349">
        <v>0</v>
      </c>
      <c r="BO45" s="350">
        <v>1.9</v>
      </c>
      <c r="BP45" s="350">
        <v>0</v>
      </c>
      <c r="BQ45" s="349">
        <v>2.0000000000000462E-2</v>
      </c>
      <c r="BR45" s="349">
        <v>0</v>
      </c>
      <c r="BS45" s="350">
        <v>0</v>
      </c>
      <c r="BT45" s="350">
        <v>0</v>
      </c>
      <c r="BU45" s="349">
        <v>21.84</v>
      </c>
      <c r="BV45" s="349">
        <v>0</v>
      </c>
      <c r="BW45" s="350">
        <v>0</v>
      </c>
      <c r="BX45" s="350">
        <v>0</v>
      </c>
      <c r="BY45" s="349">
        <v>-1.5400000000000027</v>
      </c>
      <c r="BZ45" s="349">
        <v>0</v>
      </c>
      <c r="CA45" s="350">
        <v>1.2600000000000016</v>
      </c>
      <c r="CB45" s="350">
        <v>0</v>
      </c>
      <c r="CC45" s="349">
        <v>-1.0000000000001563E-2</v>
      </c>
      <c r="CD45" s="349">
        <v>0</v>
      </c>
      <c r="CE45" s="350">
        <v>0</v>
      </c>
      <c r="CF45" s="350">
        <v>0</v>
      </c>
      <c r="CG45" s="349">
        <v>-2.4199999999999982</v>
      </c>
      <c r="CH45" s="349">
        <v>0</v>
      </c>
      <c r="CI45" s="350">
        <v>0</v>
      </c>
      <c r="CJ45" s="350">
        <v>0</v>
      </c>
      <c r="CK45" s="349">
        <v>-0.24000000000000199</v>
      </c>
      <c r="CL45" s="349">
        <v>0</v>
      </c>
      <c r="CM45" s="350">
        <v>1.657</v>
      </c>
      <c r="CN45" s="350">
        <v>0</v>
      </c>
      <c r="CO45" s="349">
        <v>9.8800000000000665E-2</v>
      </c>
      <c r="CP45" s="349">
        <v>0</v>
      </c>
      <c r="CQ45" s="350">
        <v>0.72620000000000218</v>
      </c>
      <c r="CR45" s="350">
        <v>0</v>
      </c>
      <c r="CS45" s="349">
        <v>-0.95730000000000004</v>
      </c>
      <c r="CT45" s="349">
        <v>0</v>
      </c>
      <c r="CU45" s="350">
        <v>1.8528999999999982</v>
      </c>
      <c r="CV45" s="350">
        <v>0</v>
      </c>
      <c r="CW45" s="349">
        <v>-5.2064999999999984</v>
      </c>
      <c r="CX45" s="349">
        <v>0</v>
      </c>
      <c r="CY45" s="350">
        <v>-22.250900000000001</v>
      </c>
      <c r="CZ45" s="350">
        <v>0</v>
      </c>
      <c r="DA45" s="349">
        <v>0</v>
      </c>
      <c r="DB45" s="349">
        <v>0</v>
      </c>
      <c r="DC45" s="350">
        <v>0</v>
      </c>
      <c r="DD45" s="350">
        <v>0</v>
      </c>
      <c r="DE45" s="349">
        <v>0</v>
      </c>
      <c r="DF45" s="349">
        <v>0</v>
      </c>
      <c r="DG45" s="350">
        <v>0</v>
      </c>
      <c r="DH45" s="350">
        <v>0</v>
      </c>
      <c r="DI45" s="349">
        <v>0</v>
      </c>
      <c r="DJ45" s="349">
        <v>0</v>
      </c>
      <c r="DK45" s="350">
        <v>0</v>
      </c>
      <c r="DL45" s="350">
        <v>0</v>
      </c>
      <c r="DM45" s="349">
        <v>0</v>
      </c>
      <c r="DN45" s="349">
        <v>0</v>
      </c>
      <c r="DO45" s="350">
        <v>0</v>
      </c>
      <c r="DP45" s="350">
        <v>0</v>
      </c>
    </row>
    <row r="46" spans="1:120" ht="15" customHeight="1" x14ac:dyDescent="0.2">
      <c r="G46" s="348"/>
      <c r="H46" s="348" t="s">
        <v>602</v>
      </c>
      <c r="I46" s="349">
        <v>0</v>
      </c>
      <c r="J46" s="349">
        <v>0</v>
      </c>
      <c r="K46" s="350">
        <v>0</v>
      </c>
      <c r="L46" s="350">
        <v>0</v>
      </c>
      <c r="M46" s="349">
        <v>1000</v>
      </c>
      <c r="N46" s="349">
        <v>0</v>
      </c>
      <c r="O46" s="350">
        <v>-500</v>
      </c>
      <c r="P46" s="350">
        <v>0</v>
      </c>
      <c r="Q46" s="349">
        <v>0</v>
      </c>
      <c r="R46" s="349">
        <v>0</v>
      </c>
      <c r="S46" s="350">
        <v>0</v>
      </c>
      <c r="T46" s="350">
        <v>0</v>
      </c>
      <c r="U46" s="349">
        <v>0</v>
      </c>
      <c r="V46" s="349">
        <v>0</v>
      </c>
      <c r="W46" s="350">
        <v>0</v>
      </c>
      <c r="X46" s="350">
        <v>0</v>
      </c>
      <c r="Y46" s="349">
        <v>1000</v>
      </c>
      <c r="Z46" s="349">
        <v>0</v>
      </c>
      <c r="AA46" s="350">
        <v>500</v>
      </c>
      <c r="AB46" s="350">
        <v>0</v>
      </c>
      <c r="AC46" s="349">
        <v>0</v>
      </c>
      <c r="AD46" s="349">
        <v>0</v>
      </c>
      <c r="AE46" s="350">
        <v>0</v>
      </c>
      <c r="AF46" s="350">
        <v>0</v>
      </c>
      <c r="AG46" s="349">
        <v>-500</v>
      </c>
      <c r="AH46" s="349">
        <v>0</v>
      </c>
      <c r="AI46" s="350">
        <v>650</v>
      </c>
      <c r="AJ46" s="350">
        <v>0</v>
      </c>
      <c r="AK46" s="349">
        <v>0</v>
      </c>
      <c r="AL46" s="349">
        <v>0</v>
      </c>
      <c r="AM46" s="350">
        <v>1500</v>
      </c>
      <c r="AN46" s="350">
        <v>0</v>
      </c>
      <c r="AO46" s="349">
        <v>0</v>
      </c>
      <c r="AP46" s="349">
        <v>0</v>
      </c>
      <c r="AQ46" s="350">
        <v>0</v>
      </c>
      <c r="AR46" s="350">
        <v>0</v>
      </c>
      <c r="AS46" s="349">
        <v>1500</v>
      </c>
      <c r="AT46" s="349">
        <v>0</v>
      </c>
      <c r="AU46" s="350">
        <v>0</v>
      </c>
      <c r="AV46" s="350">
        <v>0</v>
      </c>
      <c r="AW46" s="351">
        <v>0</v>
      </c>
      <c r="AX46" s="351">
        <v>0</v>
      </c>
      <c r="AY46" s="350">
        <v>1500</v>
      </c>
      <c r="AZ46" s="350">
        <v>0</v>
      </c>
      <c r="BA46" s="349">
        <v>0</v>
      </c>
      <c r="BB46" s="349">
        <v>0</v>
      </c>
      <c r="BC46" s="350">
        <v>0</v>
      </c>
      <c r="BD46" s="350">
        <v>0</v>
      </c>
      <c r="BE46" s="349">
        <v>0</v>
      </c>
      <c r="BF46" s="349">
        <v>0</v>
      </c>
      <c r="BG46" s="350">
        <v>2500</v>
      </c>
      <c r="BH46" s="350">
        <v>0</v>
      </c>
      <c r="BI46" s="349">
        <v>0</v>
      </c>
      <c r="BJ46" s="349">
        <v>0</v>
      </c>
      <c r="BK46" s="350">
        <v>0</v>
      </c>
      <c r="BL46" s="350">
        <v>0</v>
      </c>
      <c r="BM46" s="349">
        <v>1400</v>
      </c>
      <c r="BN46" s="349">
        <v>0</v>
      </c>
      <c r="BO46" s="350">
        <v>1500</v>
      </c>
      <c r="BP46" s="350">
        <v>0</v>
      </c>
      <c r="BQ46" s="349">
        <v>0</v>
      </c>
      <c r="BR46" s="349">
        <v>0</v>
      </c>
      <c r="BS46" s="350">
        <v>0</v>
      </c>
      <c r="BT46" s="350">
        <v>0</v>
      </c>
      <c r="BU46" s="349">
        <v>-162.00457355730759</v>
      </c>
      <c r="BV46" s="349">
        <v>0</v>
      </c>
      <c r="BW46" s="350">
        <v>-36.591505333055999</v>
      </c>
      <c r="BX46" s="350">
        <v>0</v>
      </c>
      <c r="BY46" s="349">
        <v>-337.16999032095487</v>
      </c>
      <c r="BZ46" s="349">
        <v>0</v>
      </c>
      <c r="CA46" s="350">
        <v>-1099.4280658159096</v>
      </c>
      <c r="CB46" s="350">
        <v>0</v>
      </c>
      <c r="CC46" s="349">
        <v>-639.61795859420238</v>
      </c>
      <c r="CD46" s="349">
        <v>0</v>
      </c>
      <c r="CE46" s="350">
        <v>56.175797247742715</v>
      </c>
      <c r="CF46" s="350">
        <v>0</v>
      </c>
      <c r="CG46" s="349">
        <v>-701.99515330210193</v>
      </c>
      <c r="CH46" s="349">
        <v>0</v>
      </c>
      <c r="CI46" s="350">
        <v>0</v>
      </c>
      <c r="CJ46" s="350">
        <v>0</v>
      </c>
      <c r="CK46" s="349">
        <v>-391.053</v>
      </c>
      <c r="CL46" s="349">
        <v>0</v>
      </c>
      <c r="CM46" s="350">
        <v>187.00580324999999</v>
      </c>
      <c r="CN46" s="350">
        <v>0</v>
      </c>
      <c r="CO46" s="349">
        <v>176.52030387500002</v>
      </c>
      <c r="CP46" s="349">
        <v>0</v>
      </c>
      <c r="CQ46" s="350">
        <v>187.00580324999999</v>
      </c>
      <c r="CR46" s="350">
        <v>0</v>
      </c>
      <c r="CS46" s="349">
        <v>176.52030387500002</v>
      </c>
      <c r="CT46" s="349">
        <v>0</v>
      </c>
      <c r="CU46" s="350">
        <v>187.00580324999999</v>
      </c>
      <c r="CV46" s="350">
        <v>0</v>
      </c>
      <c r="CW46" s="349">
        <v>176.52030387500002</v>
      </c>
      <c r="CX46" s="349">
        <v>0</v>
      </c>
      <c r="CY46" s="350">
        <v>187.00580324999999</v>
      </c>
      <c r="CZ46" s="350">
        <v>0</v>
      </c>
      <c r="DA46" s="349">
        <v>178.85840387500002</v>
      </c>
      <c r="DB46" s="349">
        <v>0</v>
      </c>
      <c r="DC46" s="350">
        <v>213.48546499999998</v>
      </c>
      <c r="DD46" s="350">
        <v>0</v>
      </c>
      <c r="DE46" s="349">
        <v>177.20422450000001</v>
      </c>
      <c r="DF46" s="349">
        <v>0</v>
      </c>
      <c r="DG46" s="350">
        <v>-104.16834945999999</v>
      </c>
      <c r="DH46" s="350">
        <v>0</v>
      </c>
      <c r="DI46" s="349">
        <v>0</v>
      </c>
      <c r="DJ46" s="349">
        <v>0</v>
      </c>
      <c r="DK46" s="350">
        <v>-298.59874019999995</v>
      </c>
      <c r="DL46" s="350">
        <v>0</v>
      </c>
      <c r="DM46" s="349">
        <v>-14.27023491000001</v>
      </c>
      <c r="DN46" s="349">
        <v>0</v>
      </c>
      <c r="DO46" s="350">
        <v>-29.76243348514992</v>
      </c>
      <c r="DP46" s="350">
        <v>0</v>
      </c>
    </row>
    <row r="47" spans="1:120" ht="15" customHeight="1" x14ac:dyDescent="0.2">
      <c r="A47" s="284"/>
      <c r="G47" s="348"/>
      <c r="H47" s="358" t="s">
        <v>603</v>
      </c>
      <c r="I47" s="349">
        <v>0</v>
      </c>
      <c r="J47" s="349">
        <v>0</v>
      </c>
      <c r="K47" s="350">
        <v>0</v>
      </c>
      <c r="L47" s="350">
        <v>0</v>
      </c>
      <c r="M47" s="349">
        <v>0</v>
      </c>
      <c r="N47" s="349">
        <v>0</v>
      </c>
      <c r="O47" s="350">
        <v>0</v>
      </c>
      <c r="P47" s="350">
        <v>0</v>
      </c>
      <c r="Q47" s="349">
        <v>0</v>
      </c>
      <c r="R47" s="349">
        <v>0</v>
      </c>
      <c r="S47" s="350">
        <v>0</v>
      </c>
      <c r="T47" s="350">
        <v>0</v>
      </c>
      <c r="U47" s="349">
        <v>0</v>
      </c>
      <c r="V47" s="349">
        <v>0</v>
      </c>
      <c r="W47" s="350">
        <v>0</v>
      </c>
      <c r="X47" s="350">
        <v>0</v>
      </c>
      <c r="Y47" s="349">
        <v>0</v>
      </c>
      <c r="Z47" s="349">
        <v>0</v>
      </c>
      <c r="AA47" s="350">
        <v>0</v>
      </c>
      <c r="AB47" s="350">
        <v>0</v>
      </c>
      <c r="AC47" s="349">
        <v>0</v>
      </c>
      <c r="AD47" s="349">
        <v>0</v>
      </c>
      <c r="AE47" s="350">
        <v>0</v>
      </c>
      <c r="AF47" s="350">
        <v>0</v>
      </c>
      <c r="AG47" s="349">
        <v>0</v>
      </c>
      <c r="AH47" s="349">
        <v>0</v>
      </c>
      <c r="AI47" s="350">
        <v>0</v>
      </c>
      <c r="AJ47" s="350">
        <v>0</v>
      </c>
      <c r="AK47" s="349">
        <v>0</v>
      </c>
      <c r="AL47" s="349">
        <v>0</v>
      </c>
      <c r="AM47" s="350">
        <v>0</v>
      </c>
      <c r="AN47" s="350">
        <v>0</v>
      </c>
      <c r="AO47" s="349">
        <v>0</v>
      </c>
      <c r="AP47" s="349">
        <v>0</v>
      </c>
      <c r="AQ47" s="350">
        <v>0</v>
      </c>
      <c r="AR47" s="350">
        <v>0</v>
      </c>
      <c r="AS47" s="349">
        <v>0</v>
      </c>
      <c r="AT47" s="349">
        <v>0</v>
      </c>
      <c r="AU47" s="350">
        <v>0</v>
      </c>
      <c r="AV47" s="350">
        <v>0</v>
      </c>
      <c r="AW47" s="351">
        <v>0</v>
      </c>
      <c r="AX47" s="351">
        <v>0</v>
      </c>
      <c r="AY47" s="350">
        <v>0</v>
      </c>
      <c r="AZ47" s="350">
        <v>0</v>
      </c>
      <c r="BA47" s="349">
        <v>0</v>
      </c>
      <c r="BB47" s="349">
        <v>0</v>
      </c>
      <c r="BC47" s="350">
        <v>0</v>
      </c>
      <c r="BD47" s="350">
        <v>0</v>
      </c>
      <c r="BE47" s="349">
        <v>0</v>
      </c>
      <c r="BF47" s="349">
        <v>0</v>
      </c>
      <c r="BG47" s="350">
        <v>0</v>
      </c>
      <c r="BH47" s="350">
        <v>0</v>
      </c>
      <c r="BI47" s="349">
        <v>0</v>
      </c>
      <c r="BJ47" s="349">
        <v>0</v>
      </c>
      <c r="BK47" s="350">
        <v>0</v>
      </c>
      <c r="BL47" s="350">
        <v>0</v>
      </c>
      <c r="BM47" s="349">
        <v>0</v>
      </c>
      <c r="BN47" s="349">
        <v>0</v>
      </c>
      <c r="BO47" s="350">
        <v>0</v>
      </c>
      <c r="BP47" s="350">
        <v>0</v>
      </c>
      <c r="BQ47" s="349">
        <v>0</v>
      </c>
      <c r="BR47" s="349">
        <v>0</v>
      </c>
      <c r="BS47" s="350">
        <v>0</v>
      </c>
      <c r="BT47" s="350">
        <v>0</v>
      </c>
      <c r="BU47" s="349"/>
      <c r="BV47" s="349"/>
      <c r="BW47" s="350"/>
      <c r="BX47" s="350"/>
      <c r="BY47" s="349"/>
      <c r="BZ47" s="349"/>
      <c r="CA47" s="350">
        <v>-859.06399999999996</v>
      </c>
      <c r="CB47" s="350"/>
      <c r="CC47" s="349"/>
      <c r="CD47" s="349"/>
      <c r="CE47" s="350"/>
      <c r="CF47" s="350"/>
      <c r="CG47" s="349"/>
      <c r="CH47" s="349"/>
      <c r="CI47" s="350"/>
      <c r="CJ47" s="350"/>
      <c r="CK47" s="349"/>
      <c r="CL47" s="349"/>
      <c r="CM47" s="350"/>
      <c r="CN47" s="350"/>
      <c r="CO47" s="349"/>
      <c r="CP47" s="349"/>
      <c r="CQ47" s="350"/>
      <c r="CR47" s="350"/>
      <c r="CS47" s="349"/>
      <c r="CT47" s="349"/>
      <c r="CU47" s="350"/>
      <c r="CV47" s="350"/>
      <c r="CW47" s="349"/>
      <c r="CX47" s="349"/>
      <c r="CY47" s="350"/>
      <c r="CZ47" s="350"/>
      <c r="DA47" s="349"/>
      <c r="DB47" s="349"/>
      <c r="DC47" s="350"/>
      <c r="DD47" s="350"/>
      <c r="DE47" s="349"/>
      <c r="DF47" s="349"/>
      <c r="DG47" s="350"/>
      <c r="DH47" s="350"/>
      <c r="DI47" s="349"/>
      <c r="DJ47" s="349"/>
      <c r="DK47" s="350"/>
      <c r="DL47" s="350"/>
      <c r="DM47" s="349"/>
      <c r="DN47" s="349"/>
      <c r="DO47" s="350"/>
      <c r="DP47" s="350"/>
    </row>
    <row r="48" spans="1:120" ht="15" customHeight="1" x14ac:dyDescent="0.2">
      <c r="G48" s="348"/>
      <c r="H48" s="358" t="s">
        <v>604</v>
      </c>
      <c r="I48" s="349"/>
      <c r="J48" s="349"/>
      <c r="K48" s="350"/>
      <c r="L48" s="350"/>
      <c r="M48" s="349"/>
      <c r="N48" s="349"/>
      <c r="O48" s="350"/>
      <c r="P48" s="350"/>
      <c r="Q48" s="349"/>
      <c r="R48" s="349"/>
      <c r="S48" s="350"/>
      <c r="T48" s="350"/>
      <c r="U48" s="349"/>
      <c r="V48" s="349"/>
      <c r="W48" s="350"/>
      <c r="X48" s="350"/>
      <c r="Y48" s="349"/>
      <c r="Z48" s="349"/>
      <c r="AA48" s="350"/>
      <c r="AB48" s="350"/>
      <c r="AC48" s="349"/>
      <c r="AD48" s="349"/>
      <c r="AE48" s="350"/>
      <c r="AF48" s="350"/>
      <c r="AG48" s="349"/>
      <c r="AH48" s="349"/>
      <c r="AI48" s="350"/>
      <c r="AJ48" s="350"/>
      <c r="AK48" s="349"/>
      <c r="AL48" s="349"/>
      <c r="AM48" s="350"/>
      <c r="AN48" s="350"/>
      <c r="AO48" s="349"/>
      <c r="AP48" s="349"/>
      <c r="AQ48" s="350"/>
      <c r="AR48" s="350"/>
      <c r="AS48" s="349"/>
      <c r="AT48" s="349"/>
      <c r="AU48" s="350"/>
      <c r="AV48" s="350"/>
      <c r="AW48" s="351"/>
      <c r="AX48" s="351"/>
      <c r="AY48" s="350"/>
      <c r="AZ48" s="350"/>
      <c r="BA48" s="349"/>
      <c r="BB48" s="349"/>
      <c r="BC48" s="350"/>
      <c r="BD48" s="350"/>
      <c r="BE48" s="349"/>
      <c r="BF48" s="349"/>
      <c r="BG48" s="350"/>
      <c r="BH48" s="350"/>
      <c r="BI48" s="349"/>
      <c r="BJ48" s="349"/>
      <c r="BK48" s="350"/>
      <c r="BL48" s="350"/>
      <c r="BM48" s="349"/>
      <c r="BN48" s="349"/>
      <c r="BO48" s="350"/>
      <c r="BP48" s="350"/>
      <c r="BQ48" s="349"/>
      <c r="BR48" s="349"/>
      <c r="BS48" s="350"/>
      <c r="BT48" s="350"/>
      <c r="BU48" s="349"/>
      <c r="BV48" s="349"/>
      <c r="BW48" s="350"/>
      <c r="BX48" s="350"/>
      <c r="BY48" s="349"/>
      <c r="BZ48" s="349"/>
      <c r="CA48" s="350"/>
      <c r="CB48" s="350"/>
      <c r="CC48" s="349">
        <v>0</v>
      </c>
      <c r="CD48" s="349"/>
      <c r="CE48" s="350">
        <v>0</v>
      </c>
      <c r="CF48" s="350"/>
      <c r="CG48" s="349">
        <v>-699.93</v>
      </c>
      <c r="CH48" s="349"/>
      <c r="CI48" s="350">
        <v>0</v>
      </c>
      <c r="CJ48" s="350"/>
      <c r="CK48" s="349">
        <v>-391.053</v>
      </c>
      <c r="CL48" s="349"/>
      <c r="CM48" s="350">
        <v>0</v>
      </c>
      <c r="CN48" s="350"/>
      <c r="CO48" s="349">
        <v>0</v>
      </c>
      <c r="CP48" s="349"/>
      <c r="CQ48" s="350">
        <v>0</v>
      </c>
      <c r="CR48" s="350"/>
      <c r="CS48" s="349">
        <v>0</v>
      </c>
      <c r="CT48" s="349"/>
      <c r="CU48" s="350">
        <v>0</v>
      </c>
      <c r="CV48" s="350"/>
      <c r="CW48" s="349">
        <v>0</v>
      </c>
      <c r="CX48" s="349"/>
      <c r="CY48" s="350">
        <v>0</v>
      </c>
      <c r="CZ48" s="350"/>
      <c r="DA48" s="349">
        <v>0</v>
      </c>
      <c r="DB48" s="349"/>
      <c r="DC48" s="350">
        <v>0</v>
      </c>
      <c r="DD48" s="350"/>
      <c r="DE48" s="349">
        <v>0</v>
      </c>
      <c r="DF48" s="349"/>
      <c r="DG48" s="350">
        <v>-104.16834945999999</v>
      </c>
      <c r="DH48" s="350"/>
      <c r="DI48" s="349">
        <v>0</v>
      </c>
      <c r="DJ48" s="349"/>
      <c r="DK48" s="350">
        <v>-284.18348130000004</v>
      </c>
      <c r="DL48" s="350"/>
      <c r="DM48" s="349">
        <v>0</v>
      </c>
      <c r="DN48" s="349"/>
      <c r="DO48" s="350">
        <v>0</v>
      </c>
      <c r="DP48" s="350"/>
    </row>
    <row r="49" spans="1:120" ht="15" customHeight="1" x14ac:dyDescent="0.2">
      <c r="G49" s="348"/>
      <c r="H49" s="358" t="s">
        <v>605</v>
      </c>
      <c r="I49" s="349"/>
      <c r="J49" s="349"/>
      <c r="K49" s="350"/>
      <c r="L49" s="350"/>
      <c r="M49" s="349"/>
      <c r="N49" s="349"/>
      <c r="O49" s="350"/>
      <c r="P49" s="350"/>
      <c r="Q49" s="349"/>
      <c r="R49" s="349"/>
      <c r="S49" s="350"/>
      <c r="T49" s="350"/>
      <c r="U49" s="349"/>
      <c r="V49" s="349"/>
      <c r="W49" s="350"/>
      <c r="X49" s="350"/>
      <c r="Y49" s="349"/>
      <c r="Z49" s="349"/>
      <c r="AA49" s="350"/>
      <c r="AB49" s="350"/>
      <c r="AC49" s="349"/>
      <c r="AD49" s="349"/>
      <c r="AE49" s="350"/>
      <c r="AF49" s="350"/>
      <c r="AG49" s="349"/>
      <c r="AH49" s="349"/>
      <c r="AI49" s="350"/>
      <c r="AJ49" s="350"/>
      <c r="AK49" s="349"/>
      <c r="AL49" s="349"/>
      <c r="AM49" s="350"/>
      <c r="AN49" s="350"/>
      <c r="AO49" s="349"/>
      <c r="AP49" s="349"/>
      <c r="AQ49" s="350"/>
      <c r="AR49" s="350"/>
      <c r="AS49" s="349"/>
      <c r="AT49" s="349"/>
      <c r="AU49" s="350"/>
      <c r="AV49" s="350"/>
      <c r="AW49" s="351"/>
      <c r="AX49" s="351"/>
      <c r="AY49" s="350"/>
      <c r="AZ49" s="350"/>
      <c r="BA49" s="349"/>
      <c r="BB49" s="349"/>
      <c r="BC49" s="350"/>
      <c r="BD49" s="350"/>
      <c r="BE49" s="349"/>
      <c r="BF49" s="349"/>
      <c r="BG49" s="350"/>
      <c r="BH49" s="350"/>
      <c r="BI49" s="349"/>
      <c r="BJ49" s="349"/>
      <c r="BK49" s="350"/>
      <c r="BL49" s="350"/>
      <c r="BM49" s="349"/>
      <c r="BN49" s="349"/>
      <c r="BO49" s="350"/>
      <c r="BP49" s="350"/>
      <c r="BQ49" s="349"/>
      <c r="BR49" s="349"/>
      <c r="BS49" s="350"/>
      <c r="BT49" s="350"/>
      <c r="BU49" s="349"/>
      <c r="BV49" s="349"/>
      <c r="BW49" s="350"/>
      <c r="BX49" s="350"/>
      <c r="BY49" s="349"/>
      <c r="BZ49" s="349"/>
      <c r="CA49" s="350"/>
      <c r="CB49" s="350"/>
      <c r="CC49" s="349">
        <v>-639.61795859420238</v>
      </c>
      <c r="CD49" s="349"/>
      <c r="CE49" s="350">
        <v>56.175797247742715</v>
      </c>
      <c r="CF49" s="350"/>
      <c r="CG49" s="349">
        <v>-2.0651533021019812</v>
      </c>
      <c r="CH49" s="349"/>
      <c r="CI49" s="350">
        <v>0</v>
      </c>
      <c r="CJ49" s="350"/>
      <c r="CK49" s="349">
        <v>0</v>
      </c>
      <c r="CL49" s="349"/>
      <c r="CM49" s="350">
        <v>0</v>
      </c>
      <c r="CN49" s="350"/>
      <c r="CO49" s="349">
        <v>0</v>
      </c>
      <c r="CP49" s="349"/>
      <c r="CQ49" s="350">
        <v>0</v>
      </c>
      <c r="CR49" s="350"/>
      <c r="CS49" s="349">
        <v>0</v>
      </c>
      <c r="CT49" s="349"/>
      <c r="CU49" s="350">
        <v>0</v>
      </c>
      <c r="CV49" s="350"/>
      <c r="CW49" s="349">
        <v>0</v>
      </c>
      <c r="CX49" s="349"/>
      <c r="CY49" s="350">
        <v>0</v>
      </c>
      <c r="CZ49" s="350"/>
      <c r="DA49" s="349">
        <v>2.2011000000000003</v>
      </c>
      <c r="DB49" s="349"/>
      <c r="DC49" s="350">
        <v>6.4199650000000004</v>
      </c>
      <c r="DD49" s="350"/>
      <c r="DE49" s="349">
        <v>0</v>
      </c>
      <c r="DF49" s="349"/>
      <c r="DG49" s="350">
        <v>0</v>
      </c>
      <c r="DH49" s="350"/>
      <c r="DI49" s="349">
        <v>0</v>
      </c>
      <c r="DJ49" s="349"/>
      <c r="DK49" s="350">
        <v>-14.415258899999932</v>
      </c>
      <c r="DL49" s="350"/>
      <c r="DM49" s="349">
        <v>-14.27023491000001</v>
      </c>
      <c r="DN49" s="349"/>
      <c r="DO49" s="350">
        <v>-29.76243348514992</v>
      </c>
      <c r="DP49" s="350"/>
    </row>
    <row r="50" spans="1:120" ht="15" customHeight="1" x14ac:dyDescent="0.2">
      <c r="G50" s="348"/>
      <c r="H50" s="358" t="s">
        <v>606</v>
      </c>
      <c r="I50" s="349"/>
      <c r="J50" s="349"/>
      <c r="K50" s="350"/>
      <c r="L50" s="350"/>
      <c r="M50" s="349"/>
      <c r="N50" s="349"/>
      <c r="O50" s="350"/>
      <c r="P50" s="350"/>
      <c r="Q50" s="349"/>
      <c r="R50" s="349"/>
      <c r="S50" s="350"/>
      <c r="T50" s="350"/>
      <c r="U50" s="349"/>
      <c r="V50" s="349"/>
      <c r="W50" s="350"/>
      <c r="X50" s="350"/>
      <c r="Y50" s="349"/>
      <c r="Z50" s="349"/>
      <c r="AA50" s="350"/>
      <c r="AB50" s="350"/>
      <c r="AC50" s="349"/>
      <c r="AD50" s="349"/>
      <c r="AE50" s="350"/>
      <c r="AF50" s="350"/>
      <c r="AG50" s="349"/>
      <c r="AH50" s="349"/>
      <c r="AI50" s="350"/>
      <c r="AJ50" s="350"/>
      <c r="AK50" s="349"/>
      <c r="AL50" s="349"/>
      <c r="AM50" s="350"/>
      <c r="AN50" s="350"/>
      <c r="AO50" s="349"/>
      <c r="AP50" s="349"/>
      <c r="AQ50" s="350"/>
      <c r="AR50" s="350"/>
      <c r="AS50" s="349"/>
      <c r="AT50" s="349"/>
      <c r="AU50" s="350"/>
      <c r="AV50" s="350"/>
      <c r="AW50" s="351"/>
      <c r="AX50" s="351"/>
      <c r="AY50" s="350"/>
      <c r="AZ50" s="350"/>
      <c r="BA50" s="349"/>
      <c r="BB50" s="349"/>
      <c r="BC50" s="350"/>
      <c r="BD50" s="350"/>
      <c r="BE50" s="349"/>
      <c r="BF50" s="349"/>
      <c r="BG50" s="350"/>
      <c r="BH50" s="350"/>
      <c r="BI50" s="349"/>
      <c r="BJ50" s="349"/>
      <c r="BK50" s="350"/>
      <c r="BL50" s="350"/>
      <c r="BM50" s="349"/>
      <c r="BN50" s="349"/>
      <c r="BO50" s="350"/>
      <c r="BP50" s="350"/>
      <c r="BQ50" s="349"/>
      <c r="BR50" s="349"/>
      <c r="BS50" s="350"/>
      <c r="BT50" s="350"/>
      <c r="BU50" s="349"/>
      <c r="BV50" s="349"/>
      <c r="BW50" s="350"/>
      <c r="BX50" s="350"/>
      <c r="BY50" s="349"/>
      <c r="BZ50" s="349"/>
      <c r="CA50" s="350"/>
      <c r="CB50" s="350"/>
      <c r="CC50" s="349"/>
      <c r="CD50" s="349"/>
      <c r="CE50" s="350"/>
      <c r="CF50" s="350"/>
      <c r="CG50" s="349"/>
      <c r="CH50" s="349"/>
      <c r="CI50" s="350"/>
      <c r="CJ50" s="350"/>
      <c r="CK50" s="349">
        <v>0</v>
      </c>
      <c r="CL50" s="349"/>
      <c r="CM50" s="350">
        <v>187.00580324999999</v>
      </c>
      <c r="CN50" s="350"/>
      <c r="CO50" s="349">
        <v>176.52030387500002</v>
      </c>
      <c r="CP50" s="349"/>
      <c r="CQ50" s="350">
        <v>187.00580324999999</v>
      </c>
      <c r="CR50" s="350"/>
      <c r="CS50" s="349">
        <v>176.52030387500002</v>
      </c>
      <c r="CT50" s="349"/>
      <c r="CU50" s="350">
        <v>187.00580324999999</v>
      </c>
      <c r="CV50" s="350"/>
      <c r="CW50" s="349">
        <v>176.52030387500002</v>
      </c>
      <c r="CX50" s="349"/>
      <c r="CY50" s="350">
        <v>187.00580324999999</v>
      </c>
      <c r="CZ50" s="350"/>
      <c r="DA50" s="349">
        <v>176.65730387500003</v>
      </c>
      <c r="DB50" s="349"/>
      <c r="DC50" s="350">
        <v>207.06549999999999</v>
      </c>
      <c r="DD50" s="350"/>
      <c r="DE50" s="349">
        <v>177.20422450000001</v>
      </c>
      <c r="DF50" s="349"/>
      <c r="DG50" s="350">
        <v>0</v>
      </c>
      <c r="DH50" s="350"/>
      <c r="DI50" s="349">
        <v>0</v>
      </c>
      <c r="DJ50" s="349"/>
      <c r="DK50" s="350">
        <v>0</v>
      </c>
      <c r="DL50" s="350"/>
      <c r="DM50" s="349">
        <v>0</v>
      </c>
      <c r="DN50" s="349"/>
      <c r="DO50" s="350">
        <v>0</v>
      </c>
      <c r="DP50" s="350"/>
    </row>
    <row r="51" spans="1:120" ht="15" customHeight="1" x14ac:dyDescent="0.2">
      <c r="A51" s="284"/>
      <c r="F51" s="347" t="s">
        <v>607</v>
      </c>
      <c r="I51" s="349"/>
      <c r="J51" s="349"/>
      <c r="K51" s="350"/>
      <c r="L51" s="350"/>
      <c r="M51" s="349"/>
      <c r="N51" s="349"/>
      <c r="O51" s="350"/>
      <c r="P51" s="350"/>
      <c r="Q51" s="349"/>
      <c r="R51" s="349"/>
      <c r="S51" s="350"/>
      <c r="T51" s="350"/>
      <c r="U51" s="349"/>
      <c r="V51" s="349"/>
      <c r="W51" s="350"/>
      <c r="X51" s="350"/>
      <c r="Y51" s="349">
        <v>0</v>
      </c>
      <c r="Z51" s="349"/>
      <c r="AA51" s="350">
        <v>175</v>
      </c>
      <c r="AB51" s="350"/>
      <c r="AC51" s="349">
        <v>0</v>
      </c>
      <c r="AD51" s="349"/>
      <c r="AE51" s="350">
        <v>0</v>
      </c>
      <c r="AF51" s="350"/>
      <c r="AG51" s="349">
        <v>0</v>
      </c>
      <c r="AH51" s="349"/>
      <c r="AI51" s="350">
        <v>0</v>
      </c>
      <c r="AJ51" s="350"/>
      <c r="AK51" s="349">
        <v>0</v>
      </c>
      <c r="AL51" s="349"/>
      <c r="AM51" s="350">
        <v>0</v>
      </c>
      <c r="AN51" s="350"/>
      <c r="AO51" s="349">
        <v>0</v>
      </c>
      <c r="AP51" s="349"/>
      <c r="AQ51" s="350">
        <v>0</v>
      </c>
      <c r="AR51" s="350"/>
      <c r="AS51" s="349">
        <v>0</v>
      </c>
      <c r="AT51" s="349"/>
      <c r="AU51" s="350">
        <v>0</v>
      </c>
      <c r="AV51" s="350"/>
      <c r="AW51" s="351">
        <v>0</v>
      </c>
      <c r="AX51" s="351"/>
      <c r="AY51" s="350">
        <v>0</v>
      </c>
      <c r="AZ51" s="350"/>
      <c r="BA51" s="349">
        <v>0</v>
      </c>
      <c r="BB51" s="349"/>
      <c r="BC51" s="350">
        <v>0</v>
      </c>
      <c r="BD51" s="350"/>
      <c r="BE51" s="349">
        <v>0</v>
      </c>
      <c r="BF51" s="349"/>
      <c r="BG51" s="350">
        <v>0</v>
      </c>
      <c r="BH51" s="350"/>
      <c r="BI51" s="349">
        <v>0</v>
      </c>
      <c r="BJ51" s="349"/>
      <c r="BK51" s="350">
        <v>0</v>
      </c>
      <c r="BL51" s="350"/>
      <c r="BM51" s="349">
        <v>0</v>
      </c>
      <c r="BN51" s="349"/>
      <c r="BO51" s="350">
        <v>0</v>
      </c>
      <c r="BP51" s="350"/>
      <c r="BQ51" s="349">
        <v>0</v>
      </c>
      <c r="BR51" s="349"/>
      <c r="BS51" s="350">
        <v>0</v>
      </c>
      <c r="BT51" s="350"/>
      <c r="BU51" s="349">
        <v>0</v>
      </c>
      <c r="BV51" s="349"/>
      <c r="BW51" s="350">
        <v>0</v>
      </c>
      <c r="BX51" s="350"/>
      <c r="BY51" s="349">
        <v>0</v>
      </c>
      <c r="BZ51" s="349"/>
      <c r="CA51" s="350">
        <v>0</v>
      </c>
      <c r="CB51" s="350"/>
      <c r="CC51" s="349">
        <v>0</v>
      </c>
      <c r="CD51" s="349"/>
      <c r="CE51" s="350">
        <v>0</v>
      </c>
      <c r="CF51" s="350"/>
      <c r="CG51" s="349">
        <v>0</v>
      </c>
      <c r="CH51" s="349"/>
      <c r="CI51" s="350">
        <v>0</v>
      </c>
      <c r="CJ51" s="350"/>
      <c r="CK51" s="349">
        <v>0</v>
      </c>
      <c r="CL51" s="349"/>
      <c r="CM51" s="350">
        <v>0</v>
      </c>
      <c r="CN51" s="350"/>
      <c r="CO51" s="349">
        <v>0</v>
      </c>
      <c r="CP51" s="349"/>
      <c r="CQ51" s="350">
        <v>6.125</v>
      </c>
      <c r="CR51" s="350"/>
      <c r="CS51" s="349">
        <v>0</v>
      </c>
      <c r="CT51" s="349"/>
      <c r="CU51" s="350">
        <v>6.3393750000000004</v>
      </c>
      <c r="CV51" s="350"/>
      <c r="CW51" s="349">
        <v>0</v>
      </c>
      <c r="CX51" s="349"/>
      <c r="CY51" s="350">
        <v>6.3468781249999999</v>
      </c>
      <c r="CZ51" s="350"/>
      <c r="DA51" s="349">
        <v>0</v>
      </c>
      <c r="DB51" s="349"/>
      <c r="DC51" s="350">
        <v>6.3471407343750004</v>
      </c>
      <c r="DD51" s="350"/>
      <c r="DE51" s="349">
        <v>0</v>
      </c>
      <c r="DF51" s="349"/>
      <c r="DG51" s="350">
        <v>6.3471499257031248</v>
      </c>
      <c r="DH51" s="350"/>
      <c r="DI51" s="349">
        <v>0</v>
      </c>
      <c r="DJ51" s="349"/>
      <c r="DK51" s="350">
        <v>6.125</v>
      </c>
      <c r="DL51" s="350"/>
      <c r="DM51" s="349">
        <v>0</v>
      </c>
      <c r="DN51" s="349"/>
      <c r="DO51" s="350">
        <v>6.125</v>
      </c>
      <c r="DP51" s="350"/>
    </row>
    <row r="52" spans="1:120" ht="15" customHeight="1" x14ac:dyDescent="0.2">
      <c r="A52" s="284"/>
      <c r="G52" s="347" t="s">
        <v>598</v>
      </c>
      <c r="I52" s="349"/>
      <c r="J52" s="349"/>
      <c r="K52" s="350"/>
      <c r="L52" s="350"/>
      <c r="M52" s="349"/>
      <c r="N52" s="349"/>
      <c r="O52" s="350"/>
      <c r="P52" s="350"/>
      <c r="Q52" s="349"/>
      <c r="R52" s="349"/>
      <c r="S52" s="350"/>
      <c r="T52" s="350"/>
      <c r="U52" s="349"/>
      <c r="V52" s="349"/>
      <c r="W52" s="350"/>
      <c r="X52" s="350"/>
      <c r="Y52" s="349">
        <v>0</v>
      </c>
      <c r="Z52" s="349"/>
      <c r="AA52" s="350">
        <v>175</v>
      </c>
      <c r="AB52" s="350"/>
      <c r="AC52" s="349">
        <v>0</v>
      </c>
      <c r="AD52" s="349"/>
      <c r="AE52" s="350">
        <v>0</v>
      </c>
      <c r="AF52" s="350"/>
      <c r="AG52" s="349">
        <v>0</v>
      </c>
      <c r="AH52" s="349"/>
      <c r="AI52" s="350">
        <v>0</v>
      </c>
      <c r="AJ52" s="350"/>
      <c r="AK52" s="349">
        <v>0</v>
      </c>
      <c r="AL52" s="349"/>
      <c r="AM52" s="350">
        <v>0</v>
      </c>
      <c r="AN52" s="350"/>
      <c r="AO52" s="349">
        <v>0</v>
      </c>
      <c r="AP52" s="349"/>
      <c r="AQ52" s="350">
        <v>0</v>
      </c>
      <c r="AR52" s="350"/>
      <c r="AS52" s="349">
        <v>0</v>
      </c>
      <c r="AT52" s="349"/>
      <c r="AU52" s="350">
        <v>0</v>
      </c>
      <c r="AV52" s="350"/>
      <c r="AW52" s="351">
        <v>0</v>
      </c>
      <c r="AX52" s="351"/>
      <c r="AY52" s="350">
        <v>0</v>
      </c>
      <c r="AZ52" s="350"/>
      <c r="BA52" s="349">
        <v>0</v>
      </c>
      <c r="BB52" s="349"/>
      <c r="BC52" s="350">
        <v>0</v>
      </c>
      <c r="BD52" s="350"/>
      <c r="BE52" s="349">
        <v>0</v>
      </c>
      <c r="BF52" s="349"/>
      <c r="BG52" s="350">
        <v>0</v>
      </c>
      <c r="BH52" s="350"/>
      <c r="BI52" s="349">
        <v>0</v>
      </c>
      <c r="BJ52" s="349"/>
      <c r="BK52" s="350">
        <v>0</v>
      </c>
      <c r="BL52" s="350"/>
      <c r="BM52" s="349">
        <v>0</v>
      </c>
      <c r="BN52" s="349"/>
      <c r="BO52" s="350">
        <v>0</v>
      </c>
      <c r="BP52" s="350"/>
      <c r="BQ52" s="349">
        <v>0</v>
      </c>
      <c r="BR52" s="349"/>
      <c r="BS52" s="350">
        <v>0</v>
      </c>
      <c r="BT52" s="350"/>
      <c r="BU52" s="349">
        <v>0</v>
      </c>
      <c r="BV52" s="349"/>
      <c r="BW52" s="350">
        <v>0</v>
      </c>
      <c r="BX52" s="350"/>
      <c r="BY52" s="349">
        <v>0</v>
      </c>
      <c r="BZ52" s="349"/>
      <c r="CA52" s="350">
        <v>0</v>
      </c>
      <c r="CB52" s="350"/>
      <c r="CC52" s="349">
        <v>0</v>
      </c>
      <c r="CD52" s="349"/>
      <c r="CE52" s="350">
        <v>0</v>
      </c>
      <c r="CF52" s="350"/>
      <c r="CG52" s="349">
        <v>0</v>
      </c>
      <c r="CH52" s="349"/>
      <c r="CI52" s="350">
        <v>0</v>
      </c>
      <c r="CJ52" s="350"/>
      <c r="CK52" s="349">
        <v>0</v>
      </c>
      <c r="CL52" s="349"/>
      <c r="CM52" s="350">
        <v>0</v>
      </c>
      <c r="CN52" s="350"/>
      <c r="CO52" s="349">
        <v>0</v>
      </c>
      <c r="CP52" s="349"/>
      <c r="CQ52" s="350">
        <v>6.125</v>
      </c>
      <c r="CR52" s="350"/>
      <c r="CS52" s="349">
        <v>0</v>
      </c>
      <c r="CT52" s="349"/>
      <c r="CU52" s="350">
        <v>6.3393750000000004</v>
      </c>
      <c r="CV52" s="350"/>
      <c r="CW52" s="349">
        <v>0</v>
      </c>
      <c r="CX52" s="349"/>
      <c r="CY52" s="350">
        <v>6.3468781249999999</v>
      </c>
      <c r="CZ52" s="350"/>
      <c r="DA52" s="349">
        <v>0</v>
      </c>
      <c r="DB52" s="349"/>
      <c r="DC52" s="350">
        <v>6.3471407343750004</v>
      </c>
      <c r="DD52" s="350"/>
      <c r="DE52" s="349">
        <v>0</v>
      </c>
      <c r="DF52" s="349"/>
      <c r="DG52" s="350">
        <v>6.3471499257031248</v>
      </c>
      <c r="DH52" s="350"/>
      <c r="DI52" s="349">
        <v>0</v>
      </c>
      <c r="DJ52" s="349"/>
      <c r="DK52" s="350">
        <v>6.125</v>
      </c>
      <c r="DL52" s="350"/>
      <c r="DM52" s="349">
        <v>0</v>
      </c>
      <c r="DN52" s="349"/>
      <c r="DO52" s="350">
        <v>6.125</v>
      </c>
      <c r="DP52" s="350"/>
    </row>
    <row r="53" spans="1:120" ht="15" customHeight="1" x14ac:dyDescent="0.2">
      <c r="A53" s="284"/>
      <c r="H53" s="358" t="s">
        <v>608</v>
      </c>
      <c r="I53" s="349"/>
      <c r="J53" s="349"/>
      <c r="K53" s="350"/>
      <c r="L53" s="350"/>
      <c r="M53" s="349"/>
      <c r="N53" s="349"/>
      <c r="O53" s="350"/>
      <c r="P53" s="350"/>
      <c r="Q53" s="349"/>
      <c r="R53" s="349"/>
      <c r="S53" s="350"/>
      <c r="T53" s="350"/>
      <c r="U53" s="349"/>
      <c r="V53" s="349"/>
      <c r="W53" s="350"/>
      <c r="X53" s="350"/>
      <c r="Y53" s="349"/>
      <c r="Z53" s="349"/>
      <c r="AA53" s="350"/>
      <c r="AB53" s="350"/>
      <c r="AC53" s="349"/>
      <c r="AD53" s="349"/>
      <c r="AE53" s="350"/>
      <c r="AF53" s="350"/>
      <c r="AG53" s="349"/>
      <c r="AH53" s="349"/>
      <c r="AI53" s="350"/>
      <c r="AJ53" s="350"/>
      <c r="AK53" s="349"/>
      <c r="AL53" s="349"/>
      <c r="AM53" s="350"/>
      <c r="AN53" s="350"/>
      <c r="AO53" s="349"/>
      <c r="AP53" s="349"/>
      <c r="AQ53" s="350"/>
      <c r="AR53" s="350"/>
      <c r="AS53" s="349"/>
      <c r="AT53" s="349"/>
      <c r="AU53" s="350"/>
      <c r="AV53" s="350"/>
      <c r="AW53" s="351"/>
      <c r="AX53" s="351"/>
      <c r="AY53" s="350"/>
      <c r="AZ53" s="350"/>
      <c r="BA53" s="349"/>
      <c r="BB53" s="349"/>
      <c r="BC53" s="350"/>
      <c r="BD53" s="350"/>
      <c r="BE53" s="349"/>
      <c r="BF53" s="349"/>
      <c r="BG53" s="350"/>
      <c r="BH53" s="350"/>
      <c r="BI53" s="349"/>
      <c r="BJ53" s="349"/>
      <c r="BK53" s="350"/>
      <c r="BL53" s="350"/>
      <c r="BM53" s="349"/>
      <c r="BN53" s="349"/>
      <c r="BO53" s="350"/>
      <c r="BP53" s="350"/>
      <c r="BQ53" s="349"/>
      <c r="BR53" s="349"/>
      <c r="BS53" s="350"/>
      <c r="BT53" s="350"/>
      <c r="BU53" s="349"/>
      <c r="BV53" s="349"/>
      <c r="BW53" s="350"/>
      <c r="BX53" s="350"/>
      <c r="BY53" s="349"/>
      <c r="BZ53" s="349"/>
      <c r="CA53" s="350"/>
      <c r="CB53" s="350"/>
      <c r="CC53" s="349"/>
      <c r="CD53" s="349"/>
      <c r="CE53" s="350"/>
      <c r="CF53" s="350"/>
      <c r="CG53" s="349"/>
      <c r="CH53" s="349"/>
      <c r="CI53" s="350"/>
      <c r="CJ53" s="350"/>
      <c r="CK53" s="349"/>
      <c r="CL53" s="349"/>
      <c r="CM53" s="350"/>
      <c r="CN53" s="350"/>
      <c r="CO53" s="349"/>
      <c r="CP53" s="349"/>
      <c r="CQ53" s="350"/>
      <c r="CR53" s="350"/>
      <c r="CS53" s="349"/>
      <c r="CT53" s="349"/>
      <c r="CU53" s="350"/>
      <c r="CV53" s="350"/>
      <c r="CW53" s="349"/>
      <c r="CX53" s="349"/>
      <c r="CY53" s="350"/>
      <c r="CZ53" s="350"/>
      <c r="DA53" s="349"/>
      <c r="DB53" s="349"/>
      <c r="DC53" s="350"/>
      <c r="DD53" s="350"/>
      <c r="DE53" s="349"/>
      <c r="DF53" s="349"/>
      <c r="DG53" s="350"/>
      <c r="DH53" s="350"/>
      <c r="DI53" s="349"/>
      <c r="DJ53" s="349"/>
      <c r="DK53" s="350"/>
      <c r="DL53" s="350"/>
      <c r="DM53" s="349"/>
      <c r="DN53" s="349"/>
      <c r="DO53" s="350"/>
      <c r="DP53" s="350"/>
    </row>
    <row r="54" spans="1:120" ht="15" customHeight="1" x14ac:dyDescent="0.2">
      <c r="A54" s="284"/>
      <c r="H54" s="358" t="s">
        <v>604</v>
      </c>
      <c r="I54" s="349"/>
      <c r="J54" s="349"/>
      <c r="K54" s="350"/>
      <c r="L54" s="350"/>
      <c r="M54" s="349"/>
      <c r="N54" s="349"/>
      <c r="O54" s="350"/>
      <c r="P54" s="350"/>
      <c r="Q54" s="349"/>
      <c r="R54" s="349"/>
      <c r="S54" s="350"/>
      <c r="T54" s="350"/>
      <c r="U54" s="349"/>
      <c r="V54" s="349"/>
      <c r="W54" s="350"/>
      <c r="X54" s="350"/>
      <c r="Y54" s="349"/>
      <c r="Z54" s="349"/>
      <c r="AA54" s="350"/>
      <c r="AB54" s="350"/>
      <c r="AC54" s="349"/>
      <c r="AD54" s="349"/>
      <c r="AE54" s="350"/>
      <c r="AF54" s="350"/>
      <c r="AG54" s="349"/>
      <c r="AH54" s="349"/>
      <c r="AI54" s="350"/>
      <c r="AJ54" s="350"/>
      <c r="AK54" s="349"/>
      <c r="AL54" s="349"/>
      <c r="AM54" s="350"/>
      <c r="AN54" s="350"/>
      <c r="AO54" s="349"/>
      <c r="AP54" s="349"/>
      <c r="AQ54" s="350"/>
      <c r="AR54" s="350"/>
      <c r="AS54" s="349"/>
      <c r="AT54" s="349"/>
      <c r="AU54" s="350"/>
      <c r="AV54" s="350"/>
      <c r="AW54" s="351"/>
      <c r="AX54" s="351"/>
      <c r="AY54" s="350"/>
      <c r="AZ54" s="350"/>
      <c r="BA54" s="349"/>
      <c r="BB54" s="349"/>
      <c r="BC54" s="350"/>
      <c r="BD54" s="350"/>
      <c r="BE54" s="349"/>
      <c r="BF54" s="349"/>
      <c r="BG54" s="350"/>
      <c r="BH54" s="350"/>
      <c r="BI54" s="349"/>
      <c r="BJ54" s="349"/>
      <c r="BK54" s="350"/>
      <c r="BL54" s="350"/>
      <c r="BM54" s="349"/>
      <c r="BN54" s="349"/>
      <c r="BO54" s="350"/>
      <c r="BP54" s="350"/>
      <c r="BQ54" s="349"/>
      <c r="BR54" s="349"/>
      <c r="BS54" s="350"/>
      <c r="BT54" s="350"/>
      <c r="BU54" s="349"/>
      <c r="BV54" s="349"/>
      <c r="BW54" s="350"/>
      <c r="BX54" s="350"/>
      <c r="BY54" s="349"/>
      <c r="BZ54" s="349"/>
      <c r="CA54" s="350"/>
      <c r="CB54" s="350"/>
      <c r="CC54" s="349"/>
      <c r="CD54" s="349"/>
      <c r="CE54" s="350"/>
      <c r="CF54" s="350"/>
      <c r="CG54" s="349"/>
      <c r="CH54" s="349"/>
      <c r="CI54" s="350"/>
      <c r="CJ54" s="350"/>
      <c r="CK54" s="349"/>
      <c r="CL54" s="349"/>
      <c r="CM54" s="350"/>
      <c r="CN54" s="350"/>
      <c r="CO54" s="349"/>
      <c r="CP54" s="349"/>
      <c r="CQ54" s="350"/>
      <c r="CR54" s="350"/>
      <c r="CS54" s="349"/>
      <c r="CT54" s="349"/>
      <c r="CU54" s="350"/>
      <c r="CV54" s="350"/>
      <c r="CW54" s="349"/>
      <c r="CX54" s="349"/>
      <c r="CY54" s="350"/>
      <c r="CZ54" s="350"/>
      <c r="DA54" s="349"/>
      <c r="DB54" s="349"/>
      <c r="DC54" s="350"/>
      <c r="DD54" s="350"/>
      <c r="DE54" s="349"/>
      <c r="DF54" s="349"/>
      <c r="DG54" s="350"/>
      <c r="DH54" s="350"/>
      <c r="DI54" s="349"/>
      <c r="DJ54" s="349"/>
      <c r="DK54" s="350"/>
      <c r="DL54" s="350"/>
      <c r="DM54" s="349"/>
      <c r="DN54" s="349"/>
      <c r="DO54" s="350"/>
      <c r="DP54" s="350"/>
    </row>
    <row r="55" spans="1:120" ht="15" customHeight="1" x14ac:dyDescent="0.2">
      <c r="A55" s="284"/>
      <c r="H55" s="358" t="s">
        <v>609</v>
      </c>
      <c r="I55" s="349"/>
      <c r="J55" s="349"/>
      <c r="K55" s="350"/>
      <c r="L55" s="350"/>
      <c r="M55" s="349"/>
      <c r="N55" s="349"/>
      <c r="O55" s="350"/>
      <c r="P55" s="350"/>
      <c r="Q55" s="349"/>
      <c r="R55" s="349"/>
      <c r="S55" s="350"/>
      <c r="T55" s="350"/>
      <c r="U55" s="349"/>
      <c r="V55" s="349"/>
      <c r="W55" s="350"/>
      <c r="X55" s="350"/>
      <c r="Y55" s="349"/>
      <c r="Z55" s="349"/>
      <c r="AA55" s="350"/>
      <c r="AB55" s="350"/>
      <c r="AC55" s="349"/>
      <c r="AD55" s="349"/>
      <c r="AE55" s="350"/>
      <c r="AF55" s="350"/>
      <c r="AG55" s="349"/>
      <c r="AH55" s="349"/>
      <c r="AI55" s="350"/>
      <c r="AJ55" s="350"/>
      <c r="AK55" s="349"/>
      <c r="AL55" s="349"/>
      <c r="AM55" s="350"/>
      <c r="AN55" s="350"/>
      <c r="AO55" s="349"/>
      <c r="AP55" s="349"/>
      <c r="AQ55" s="350"/>
      <c r="AR55" s="350"/>
      <c r="AS55" s="349"/>
      <c r="AT55" s="349"/>
      <c r="AU55" s="350"/>
      <c r="AV55" s="350"/>
      <c r="AW55" s="351"/>
      <c r="AX55" s="351"/>
      <c r="AY55" s="350"/>
      <c r="AZ55" s="350"/>
      <c r="BA55" s="349"/>
      <c r="BB55" s="349"/>
      <c r="BC55" s="350"/>
      <c r="BD55" s="350"/>
      <c r="BE55" s="349"/>
      <c r="BF55" s="349"/>
      <c r="BG55" s="350"/>
      <c r="BH55" s="350"/>
      <c r="BI55" s="349"/>
      <c r="BJ55" s="349"/>
      <c r="BK55" s="350"/>
      <c r="BL55" s="350"/>
      <c r="BM55" s="349"/>
      <c r="BN55" s="349"/>
      <c r="BO55" s="350"/>
      <c r="BP55" s="350"/>
      <c r="BQ55" s="349"/>
      <c r="BR55" s="349"/>
      <c r="BS55" s="350"/>
      <c r="BT55" s="350"/>
      <c r="BU55" s="349"/>
      <c r="BV55" s="349"/>
      <c r="BW55" s="350"/>
      <c r="BX55" s="350"/>
      <c r="BY55" s="349"/>
      <c r="BZ55" s="349"/>
      <c r="CA55" s="350"/>
      <c r="CB55" s="350"/>
      <c r="CC55" s="349"/>
      <c r="CD55" s="349"/>
      <c r="CE55" s="350"/>
      <c r="CF55" s="350"/>
      <c r="CG55" s="349"/>
      <c r="CH55" s="349"/>
      <c r="CI55" s="350"/>
      <c r="CJ55" s="350"/>
      <c r="CK55" s="349"/>
      <c r="CL55" s="349"/>
      <c r="CM55" s="350"/>
      <c r="CN55" s="350"/>
      <c r="CO55" s="349"/>
      <c r="CP55" s="349"/>
      <c r="CQ55" s="350">
        <v>6.125</v>
      </c>
      <c r="CR55" s="350"/>
      <c r="CS55" s="349">
        <v>0</v>
      </c>
      <c r="CT55" s="349"/>
      <c r="CU55" s="350">
        <v>6.3393750000000004</v>
      </c>
      <c r="CV55" s="350"/>
      <c r="CW55" s="349">
        <v>0</v>
      </c>
      <c r="CX55" s="349"/>
      <c r="CY55" s="350">
        <v>6.3468781249999999</v>
      </c>
      <c r="CZ55" s="350"/>
      <c r="DA55" s="349">
        <v>0</v>
      </c>
      <c r="DB55" s="349"/>
      <c r="DC55" s="350">
        <v>6.3471407343750004</v>
      </c>
      <c r="DD55" s="350"/>
      <c r="DE55" s="349">
        <v>0</v>
      </c>
      <c r="DF55" s="349"/>
      <c r="DG55" s="350">
        <v>6.3471499257031248</v>
      </c>
      <c r="DH55" s="350"/>
      <c r="DI55" s="349">
        <v>0</v>
      </c>
      <c r="DJ55" s="349"/>
      <c r="DK55" s="350">
        <v>6.125</v>
      </c>
      <c r="DL55" s="350"/>
      <c r="DM55" s="349">
        <v>0</v>
      </c>
      <c r="DN55" s="349"/>
      <c r="DO55" s="350">
        <v>6.125</v>
      </c>
      <c r="DP55" s="350"/>
    </row>
    <row r="56" spans="1:120" ht="15" customHeight="1" x14ac:dyDescent="0.2">
      <c r="A56" s="284"/>
      <c r="D56" s="338" t="s">
        <v>610</v>
      </c>
      <c r="I56" s="349">
        <v>0</v>
      </c>
      <c r="J56" s="349">
        <v>0</v>
      </c>
      <c r="K56" s="350">
        <v>0</v>
      </c>
      <c r="L56" s="350">
        <v>0</v>
      </c>
      <c r="M56" s="349">
        <v>0</v>
      </c>
      <c r="N56" s="349">
        <v>0</v>
      </c>
      <c r="O56" s="350">
        <v>0</v>
      </c>
      <c r="P56" s="350">
        <v>0</v>
      </c>
      <c r="Q56" s="349">
        <v>0</v>
      </c>
      <c r="R56" s="349">
        <v>0</v>
      </c>
      <c r="S56" s="350">
        <v>0</v>
      </c>
      <c r="T56" s="350">
        <v>0</v>
      </c>
      <c r="U56" s="349">
        <v>0</v>
      </c>
      <c r="V56" s="349">
        <v>0</v>
      </c>
      <c r="W56" s="350">
        <v>0</v>
      </c>
      <c r="X56" s="350">
        <v>0</v>
      </c>
      <c r="Y56" s="349">
        <v>0</v>
      </c>
      <c r="Z56" s="349">
        <v>0</v>
      </c>
      <c r="AA56" s="350">
        <v>0</v>
      </c>
      <c r="AB56" s="350">
        <v>0</v>
      </c>
      <c r="AC56" s="349">
        <v>0</v>
      </c>
      <c r="AD56" s="349">
        <v>0</v>
      </c>
      <c r="AE56" s="350">
        <v>0</v>
      </c>
      <c r="AF56" s="350">
        <v>0</v>
      </c>
      <c r="AG56" s="349">
        <v>0</v>
      </c>
      <c r="AH56" s="349">
        <v>0</v>
      </c>
      <c r="AI56" s="350">
        <v>0</v>
      </c>
      <c r="AJ56" s="350">
        <v>0</v>
      </c>
      <c r="AK56" s="349">
        <v>0</v>
      </c>
      <c r="AL56" s="349">
        <v>0</v>
      </c>
      <c r="AM56" s="350">
        <v>0</v>
      </c>
      <c r="AN56" s="350">
        <v>0</v>
      </c>
      <c r="AO56" s="349">
        <v>0</v>
      </c>
      <c r="AP56" s="349">
        <v>0</v>
      </c>
      <c r="AQ56" s="350">
        <v>0</v>
      </c>
      <c r="AR56" s="350">
        <v>0</v>
      </c>
      <c r="AS56" s="349">
        <v>0</v>
      </c>
      <c r="AT56" s="349">
        <v>0</v>
      </c>
      <c r="AU56" s="350">
        <v>0</v>
      </c>
      <c r="AV56" s="350">
        <v>0</v>
      </c>
      <c r="AW56" s="351">
        <v>0</v>
      </c>
      <c r="AX56" s="351">
        <v>0</v>
      </c>
      <c r="AY56" s="350">
        <v>0</v>
      </c>
      <c r="AZ56" s="350">
        <v>0</v>
      </c>
      <c r="BA56" s="349">
        <v>0</v>
      </c>
      <c r="BB56" s="349">
        <v>0</v>
      </c>
      <c r="BC56" s="350">
        <v>0</v>
      </c>
      <c r="BD56" s="350">
        <v>0</v>
      </c>
      <c r="BE56" s="349">
        <v>0</v>
      </c>
      <c r="BF56" s="349">
        <v>0</v>
      </c>
      <c r="BG56" s="350">
        <v>0</v>
      </c>
      <c r="BH56" s="350">
        <v>0</v>
      </c>
      <c r="BI56" s="349">
        <v>0</v>
      </c>
      <c r="BJ56" s="349">
        <v>0</v>
      </c>
      <c r="BK56" s="350">
        <v>0</v>
      </c>
      <c r="BL56" s="350">
        <v>0</v>
      </c>
      <c r="BM56" s="349">
        <v>0</v>
      </c>
      <c r="BN56" s="349">
        <v>0</v>
      </c>
      <c r="BO56" s="350">
        <v>0</v>
      </c>
      <c r="BP56" s="350">
        <v>0</v>
      </c>
      <c r="BQ56" s="349">
        <v>0</v>
      </c>
      <c r="BR56" s="349">
        <v>0</v>
      </c>
      <c r="BS56" s="350">
        <v>0</v>
      </c>
      <c r="BT56" s="350">
        <v>0</v>
      </c>
      <c r="BU56" s="349">
        <v>0</v>
      </c>
      <c r="BV56" s="349">
        <v>0</v>
      </c>
      <c r="BW56" s="350">
        <v>0</v>
      </c>
      <c r="BX56" s="350">
        <v>0</v>
      </c>
      <c r="BY56" s="349">
        <v>0</v>
      </c>
      <c r="BZ56" s="349">
        <v>0</v>
      </c>
      <c r="CA56" s="350">
        <v>0</v>
      </c>
      <c r="CB56" s="350">
        <v>0</v>
      </c>
      <c r="CC56" s="349">
        <v>0</v>
      </c>
      <c r="CD56" s="349">
        <v>0</v>
      </c>
      <c r="CE56" s="350">
        <v>0</v>
      </c>
      <c r="CF56" s="350">
        <v>0</v>
      </c>
      <c r="CG56" s="349">
        <v>0</v>
      </c>
      <c r="CH56" s="349">
        <v>0</v>
      </c>
      <c r="CI56" s="350">
        <v>0</v>
      </c>
      <c r="CJ56" s="350">
        <v>0</v>
      </c>
      <c r="CK56" s="349">
        <v>0</v>
      </c>
      <c r="CL56" s="349">
        <v>0</v>
      </c>
      <c r="CM56" s="350">
        <v>0</v>
      </c>
      <c r="CN56" s="350">
        <v>0</v>
      </c>
      <c r="CO56" s="349">
        <v>0</v>
      </c>
      <c r="CP56" s="349">
        <v>0</v>
      </c>
      <c r="CQ56" s="350">
        <v>0</v>
      </c>
      <c r="CR56" s="350">
        <v>0</v>
      </c>
      <c r="CS56" s="349">
        <v>0</v>
      </c>
      <c r="CT56" s="349">
        <v>0</v>
      </c>
      <c r="CU56" s="350">
        <v>0</v>
      </c>
      <c r="CV56" s="350">
        <v>0</v>
      </c>
      <c r="CW56" s="349">
        <v>0</v>
      </c>
      <c r="CX56" s="349">
        <v>0</v>
      </c>
      <c r="CY56" s="350">
        <v>0</v>
      </c>
      <c r="CZ56" s="350">
        <v>0</v>
      </c>
      <c r="DA56" s="349">
        <v>0</v>
      </c>
      <c r="DB56" s="349">
        <v>0</v>
      </c>
      <c r="DC56" s="350">
        <v>0</v>
      </c>
      <c r="DD56" s="350">
        <v>0</v>
      </c>
      <c r="DE56" s="349">
        <v>0</v>
      </c>
      <c r="DF56" s="349">
        <v>0</v>
      </c>
      <c r="DG56" s="350">
        <v>0</v>
      </c>
      <c r="DH56" s="350">
        <v>0</v>
      </c>
      <c r="DI56" s="349">
        <v>0</v>
      </c>
      <c r="DJ56" s="349">
        <v>0</v>
      </c>
      <c r="DK56" s="350">
        <v>0</v>
      </c>
      <c r="DL56" s="350">
        <v>0</v>
      </c>
      <c r="DM56" s="349">
        <v>0</v>
      </c>
      <c r="DN56" s="349">
        <v>0</v>
      </c>
      <c r="DO56" s="350">
        <v>0</v>
      </c>
      <c r="DP56" s="350">
        <v>0</v>
      </c>
    </row>
    <row r="57" spans="1:120" ht="15" customHeight="1" x14ac:dyDescent="0.2">
      <c r="A57" s="284"/>
      <c r="D57" s="338" t="s">
        <v>611</v>
      </c>
      <c r="E57" s="338"/>
      <c r="I57" s="344">
        <v>114.98133964160155</v>
      </c>
      <c r="J57" s="344">
        <v>11.908953737270267</v>
      </c>
      <c r="K57" s="345">
        <v>985.37542110020968</v>
      </c>
      <c r="L57" s="345">
        <v>169.00581042423744</v>
      </c>
      <c r="M57" s="344">
        <v>79.295648573841447</v>
      </c>
      <c r="N57" s="344">
        <v>215.81494933927587</v>
      </c>
      <c r="O57" s="345">
        <v>1203.9872781831618</v>
      </c>
      <c r="P57" s="345">
        <v>-34.091988154784651</v>
      </c>
      <c r="Q57" s="344">
        <v>286.1177048849915</v>
      </c>
      <c r="R57" s="344">
        <v>4.5118060359053445</v>
      </c>
      <c r="S57" s="345">
        <v>257.71414765629453</v>
      </c>
      <c r="T57" s="345">
        <v>-121.37635648908517</v>
      </c>
      <c r="U57" s="344">
        <v>54.272825007156058</v>
      </c>
      <c r="V57" s="344">
        <v>165.54351072828726</v>
      </c>
      <c r="W57" s="345">
        <v>450.37451669883376</v>
      </c>
      <c r="X57" s="345">
        <v>-239.7317132282744</v>
      </c>
      <c r="Y57" s="344">
        <v>96.277801525915891</v>
      </c>
      <c r="Z57" s="344">
        <v>444.35878003155563</v>
      </c>
      <c r="AA57" s="345">
        <v>549.06025291957098</v>
      </c>
      <c r="AB57" s="345">
        <v>169.84631134894124</v>
      </c>
      <c r="AC57" s="344">
        <v>58.482223981626532</v>
      </c>
      <c r="AD57" s="344">
        <v>-73.228088145190824</v>
      </c>
      <c r="AE57" s="345">
        <v>461.60657423089185</v>
      </c>
      <c r="AF57" s="345">
        <v>431.96780454074872</v>
      </c>
      <c r="AG57" s="344">
        <v>54.745699654205964</v>
      </c>
      <c r="AH57" s="344">
        <v>127.91372096100022</v>
      </c>
      <c r="AI57" s="345">
        <v>596.19452717151933</v>
      </c>
      <c r="AJ57" s="345">
        <v>-24.893019667878903</v>
      </c>
      <c r="AK57" s="344">
        <v>665.51840984490673</v>
      </c>
      <c r="AL57" s="344">
        <v>-14.154747260786934</v>
      </c>
      <c r="AM57" s="345">
        <v>540.52398549135967</v>
      </c>
      <c r="AN57" s="345">
        <v>414.54117544558261</v>
      </c>
      <c r="AO57" s="344">
        <v>-8.5794969201955382</v>
      </c>
      <c r="AP57" s="344">
        <v>-79.513842922186967</v>
      </c>
      <c r="AQ57" s="345">
        <v>-236.42427859961424</v>
      </c>
      <c r="AR57" s="345">
        <v>-7.7878358124817879</v>
      </c>
      <c r="AS57" s="344">
        <v>172.49597330853339</v>
      </c>
      <c r="AT57" s="344">
        <v>586.45694796895418</v>
      </c>
      <c r="AU57" s="345">
        <v>395.06948089343348</v>
      </c>
      <c r="AV57" s="345">
        <v>-233.13601243482793</v>
      </c>
      <c r="AW57" s="346">
        <v>-270.64853976762117</v>
      </c>
      <c r="AX57" s="346">
        <v>-447.03421945128343</v>
      </c>
      <c r="AY57" s="345">
        <v>943.38853209827812</v>
      </c>
      <c r="AZ57" s="345">
        <v>175.84862842128052</v>
      </c>
      <c r="BA57" s="344">
        <v>-257.66686372041949</v>
      </c>
      <c r="BB57" s="344">
        <v>198.67703407724156</v>
      </c>
      <c r="BC57" s="345">
        <v>1501.3909842161388</v>
      </c>
      <c r="BD57" s="345">
        <v>154.39503939273027</v>
      </c>
      <c r="BE57" s="344">
        <v>-292.45028734780442</v>
      </c>
      <c r="BF57" s="344">
        <v>-175.03555987975201</v>
      </c>
      <c r="BG57" s="345">
        <v>-87.176823848251615</v>
      </c>
      <c r="BH57" s="345">
        <v>-158.47053016148175</v>
      </c>
      <c r="BI57" s="344">
        <v>411.64843796886453</v>
      </c>
      <c r="BJ57" s="344">
        <v>468.17626962171283</v>
      </c>
      <c r="BK57" s="345">
        <v>1040.5102252594893</v>
      </c>
      <c r="BL57" s="345">
        <v>237.41734749512511</v>
      </c>
      <c r="BM57" s="344">
        <v>-459.74478574000386</v>
      </c>
      <c r="BN57" s="344">
        <v>217.11436340302416</v>
      </c>
      <c r="BO57" s="345">
        <v>-325.26193463049543</v>
      </c>
      <c r="BP57" s="345">
        <v>-241.76642089553678</v>
      </c>
      <c r="BQ57" s="344">
        <v>312.40567138432198</v>
      </c>
      <c r="BR57" s="344">
        <v>90.876068415651346</v>
      </c>
      <c r="BS57" s="345">
        <v>390.44062264658169</v>
      </c>
      <c r="BT57" s="345">
        <v>33.624215736135774</v>
      </c>
      <c r="BU57" s="344">
        <v>828.68959394110766</v>
      </c>
      <c r="BV57" s="344">
        <v>334.24274098058868</v>
      </c>
      <c r="BW57" s="345">
        <v>-1236.3530569995814</v>
      </c>
      <c r="BX57" s="345">
        <v>-392.24141747268823</v>
      </c>
      <c r="BY57" s="344">
        <v>106.55984186432937</v>
      </c>
      <c r="BZ57" s="344">
        <v>-333.49853166712484</v>
      </c>
      <c r="CA57" s="345">
        <v>531.69776757263821</v>
      </c>
      <c r="CB57" s="345">
        <v>255.69269052894495</v>
      </c>
      <c r="CC57" s="344">
        <v>-863.53891215288604</v>
      </c>
      <c r="CD57" s="344">
        <v>-334.28180909844355</v>
      </c>
      <c r="CE57" s="345">
        <v>904.85275054528506</v>
      </c>
      <c r="CF57" s="345">
        <v>371.47729079523208</v>
      </c>
      <c r="CG57" s="344">
        <v>2033.4641562393006</v>
      </c>
      <c r="CH57" s="344">
        <v>742.23415599351506</v>
      </c>
      <c r="CI57" s="345">
        <v>978.5655875462719</v>
      </c>
      <c r="CJ57" s="345">
        <v>-392.74107349711915</v>
      </c>
      <c r="CK57" s="344">
        <v>164.02412224798695</v>
      </c>
      <c r="CL57" s="344">
        <v>535.29752654116282</v>
      </c>
      <c r="CM57" s="345">
        <v>557.11220714643116</v>
      </c>
      <c r="CN57" s="345">
        <v>302.98140392690959</v>
      </c>
      <c r="CO57" s="344">
        <v>282.36580179110445</v>
      </c>
      <c r="CP57" s="344">
        <v>613.80805488162889</v>
      </c>
      <c r="CQ57" s="345">
        <v>-605.10486650252847</v>
      </c>
      <c r="CR57" s="345">
        <v>-149.74242976697815</v>
      </c>
      <c r="CS57" s="344">
        <v>-78.607311059947449</v>
      </c>
      <c r="CT57" s="344">
        <v>139.09189074925339</v>
      </c>
      <c r="CU57" s="345">
        <v>281.74096519968674</v>
      </c>
      <c r="CV57" s="345">
        <v>110.47126799243932</v>
      </c>
      <c r="CW57" s="344">
        <v>133.05071331751301</v>
      </c>
      <c r="CX57" s="344">
        <v>958.1176676362129</v>
      </c>
      <c r="CY57" s="345">
        <v>191.73181399828613</v>
      </c>
      <c r="CZ57" s="345">
        <v>-236.03139740057131</v>
      </c>
      <c r="DA57" s="344">
        <v>-290.47334207110276</v>
      </c>
      <c r="DB57" s="344">
        <v>-33.098479587475069</v>
      </c>
      <c r="DC57" s="345">
        <v>83.366227871666055</v>
      </c>
      <c r="DD57" s="345">
        <v>98.153494567476812</v>
      </c>
      <c r="DE57" s="344">
        <v>-53.874902090741472</v>
      </c>
      <c r="DF57" s="344">
        <v>0.85713011806495842</v>
      </c>
      <c r="DG57" s="345">
        <v>204.7394772667696</v>
      </c>
      <c r="DH57" s="345">
        <v>-68.82406976157182</v>
      </c>
      <c r="DI57" s="344">
        <v>322.14403428075326</v>
      </c>
      <c r="DJ57" s="344">
        <v>897.38757710054699</v>
      </c>
      <c r="DK57" s="345">
        <v>-856.32461050408369</v>
      </c>
      <c r="DL57" s="345">
        <v>-396.89197078806853</v>
      </c>
      <c r="DM57" s="344">
        <v>-276.63703982202912</v>
      </c>
      <c r="DN57" s="344">
        <v>228.61269635702331</v>
      </c>
      <c r="DO57" s="345">
        <v>560.56105472671868</v>
      </c>
      <c r="DP57" s="345">
        <v>244.15064253840961</v>
      </c>
    </row>
    <row r="58" spans="1:120" s="338" customFormat="1" ht="15" customHeight="1" x14ac:dyDescent="0.2">
      <c r="A58" s="284"/>
      <c r="E58" s="338" t="s">
        <v>612</v>
      </c>
      <c r="H58" s="339"/>
      <c r="I58" s="349">
        <v>0</v>
      </c>
      <c r="J58" s="344"/>
      <c r="K58" s="350">
        <v>0</v>
      </c>
      <c r="L58" s="345"/>
      <c r="M58" s="349">
        <v>0</v>
      </c>
      <c r="N58" s="344"/>
      <c r="O58" s="350">
        <v>0</v>
      </c>
      <c r="P58" s="345"/>
      <c r="Q58" s="349">
        <v>0</v>
      </c>
      <c r="R58" s="344"/>
      <c r="S58" s="350">
        <v>0</v>
      </c>
      <c r="T58" s="345"/>
      <c r="U58" s="349">
        <v>0</v>
      </c>
      <c r="V58" s="344"/>
      <c r="W58" s="350">
        <v>0</v>
      </c>
      <c r="X58" s="345"/>
      <c r="Y58" s="349">
        <v>0</v>
      </c>
      <c r="Z58" s="344"/>
      <c r="AA58" s="350">
        <v>0</v>
      </c>
      <c r="AB58" s="345"/>
      <c r="AC58" s="349">
        <v>0</v>
      </c>
      <c r="AD58" s="344"/>
      <c r="AE58" s="350">
        <v>0</v>
      </c>
      <c r="AF58" s="345"/>
      <c r="AG58" s="349">
        <v>0</v>
      </c>
      <c r="AH58" s="344"/>
      <c r="AI58" s="350">
        <v>0</v>
      </c>
      <c r="AJ58" s="345"/>
      <c r="AK58" s="349">
        <v>0</v>
      </c>
      <c r="AL58" s="344"/>
      <c r="AM58" s="350">
        <v>0</v>
      </c>
      <c r="AN58" s="345"/>
      <c r="AO58" s="349">
        <v>0</v>
      </c>
      <c r="AP58" s="344"/>
      <c r="AQ58" s="350">
        <v>0</v>
      </c>
      <c r="AR58" s="345"/>
      <c r="AS58" s="349">
        <v>0</v>
      </c>
      <c r="AT58" s="344"/>
      <c r="AU58" s="350">
        <v>0</v>
      </c>
      <c r="AV58" s="345"/>
      <c r="AW58" s="351">
        <v>0</v>
      </c>
      <c r="AX58" s="346"/>
      <c r="AY58" s="350">
        <v>0</v>
      </c>
      <c r="AZ58" s="345"/>
      <c r="BA58" s="349">
        <v>0</v>
      </c>
      <c r="BB58" s="344"/>
      <c r="BC58" s="350">
        <v>0</v>
      </c>
      <c r="BD58" s="345"/>
      <c r="BE58" s="349">
        <v>0</v>
      </c>
      <c r="BF58" s="344"/>
      <c r="BG58" s="350">
        <v>0</v>
      </c>
      <c r="BH58" s="345"/>
      <c r="BI58" s="349">
        <v>0</v>
      </c>
      <c r="BJ58" s="344"/>
      <c r="BK58" s="350">
        <v>0</v>
      </c>
      <c r="BL58" s="345"/>
      <c r="BM58" s="349">
        <v>0</v>
      </c>
      <c r="BN58" s="344"/>
      <c r="BO58" s="350">
        <v>0</v>
      </c>
      <c r="BP58" s="345"/>
      <c r="BQ58" s="349">
        <v>0</v>
      </c>
      <c r="BR58" s="344"/>
      <c r="BS58" s="350">
        <v>0</v>
      </c>
      <c r="BT58" s="345"/>
      <c r="BU58" s="349">
        <v>0</v>
      </c>
      <c r="BV58" s="344"/>
      <c r="BW58" s="350">
        <v>0</v>
      </c>
      <c r="BX58" s="345"/>
      <c r="BY58" s="349">
        <v>0</v>
      </c>
      <c r="BZ58" s="344"/>
      <c r="CA58" s="350">
        <v>0</v>
      </c>
      <c r="CB58" s="345"/>
      <c r="CC58" s="349">
        <v>0</v>
      </c>
      <c r="CD58" s="344"/>
      <c r="CE58" s="350">
        <v>0</v>
      </c>
      <c r="CF58" s="345"/>
      <c r="CG58" s="349">
        <v>0</v>
      </c>
      <c r="CH58" s="344"/>
      <c r="CI58" s="350">
        <v>0</v>
      </c>
      <c r="CJ58" s="345"/>
      <c r="CK58" s="349">
        <v>0</v>
      </c>
      <c r="CL58" s="344"/>
      <c r="CM58" s="350">
        <v>0</v>
      </c>
      <c r="CN58" s="345"/>
      <c r="CO58" s="349">
        <v>0</v>
      </c>
      <c r="CP58" s="344"/>
      <c r="CQ58" s="350">
        <v>0</v>
      </c>
      <c r="CR58" s="345"/>
      <c r="CS58" s="349">
        <v>0</v>
      </c>
      <c r="CT58" s="344"/>
      <c r="CU58" s="350">
        <v>0</v>
      </c>
      <c r="CV58" s="345"/>
      <c r="CW58" s="349">
        <v>0</v>
      </c>
      <c r="CX58" s="344"/>
      <c r="CY58" s="350">
        <v>0</v>
      </c>
      <c r="CZ58" s="345"/>
      <c r="DA58" s="349">
        <v>0</v>
      </c>
      <c r="DB58" s="344"/>
      <c r="DC58" s="350">
        <v>0</v>
      </c>
      <c r="DD58" s="345"/>
      <c r="DE58" s="349">
        <v>0</v>
      </c>
      <c r="DF58" s="344"/>
      <c r="DG58" s="350">
        <v>0</v>
      </c>
      <c r="DH58" s="345"/>
      <c r="DI58" s="349">
        <v>0</v>
      </c>
      <c r="DJ58" s="344"/>
      <c r="DK58" s="350">
        <v>0</v>
      </c>
      <c r="DL58" s="345"/>
      <c r="DM58" s="349">
        <v>0</v>
      </c>
      <c r="DN58" s="344"/>
      <c r="DO58" s="350">
        <v>0</v>
      </c>
      <c r="DP58" s="345"/>
    </row>
    <row r="59" spans="1:120" s="338" customFormat="1" ht="15" customHeight="1" x14ac:dyDescent="0.2">
      <c r="A59" s="284"/>
      <c r="E59" s="338" t="s">
        <v>613</v>
      </c>
      <c r="H59" s="339"/>
      <c r="I59" s="344">
        <v>-23.437918415670151</v>
      </c>
      <c r="J59" s="344">
        <v>-65.600717066661502</v>
      </c>
      <c r="K59" s="345">
        <v>25.480966730392034</v>
      </c>
      <c r="L59" s="345">
        <v>152.95885239049551</v>
      </c>
      <c r="M59" s="344">
        <v>53.65390356761349</v>
      </c>
      <c r="N59" s="344">
        <v>90.562296421330643</v>
      </c>
      <c r="O59" s="345">
        <v>391.02250147451116</v>
      </c>
      <c r="P59" s="345">
        <v>-16.053403469860086</v>
      </c>
      <c r="Q59" s="344">
        <v>-44.603185735172076</v>
      </c>
      <c r="R59" s="344">
        <v>-117.79211672942591</v>
      </c>
      <c r="S59" s="345">
        <v>-150.0128192846839</v>
      </c>
      <c r="T59" s="345">
        <v>-186.37262080286763</v>
      </c>
      <c r="U59" s="344">
        <v>103.96770250296898</v>
      </c>
      <c r="V59" s="344">
        <v>15.859600704277511</v>
      </c>
      <c r="W59" s="345">
        <v>198.36165024881694</v>
      </c>
      <c r="X59" s="345">
        <v>-170.40231652221428</v>
      </c>
      <c r="Y59" s="344">
        <v>-173.40995267648262</v>
      </c>
      <c r="Z59" s="344">
        <v>149.85911400012583</v>
      </c>
      <c r="AA59" s="345">
        <v>36.85982510373843</v>
      </c>
      <c r="AB59" s="345">
        <v>-21.469689944965978</v>
      </c>
      <c r="AC59" s="344">
        <v>-124.37910745878135</v>
      </c>
      <c r="AD59" s="344">
        <v>-58.992535640809137</v>
      </c>
      <c r="AE59" s="345">
        <v>-31.315562519556284</v>
      </c>
      <c r="AF59" s="345">
        <v>206.28897633316387</v>
      </c>
      <c r="AG59" s="344">
        <v>-12.171966580162408</v>
      </c>
      <c r="AH59" s="344">
        <v>-15.179817490125572</v>
      </c>
      <c r="AI59" s="345">
        <v>412.35663993343161</v>
      </c>
      <c r="AJ59" s="345">
        <v>-49.44365461323315</v>
      </c>
      <c r="AK59" s="344">
        <v>1094.59222685277</v>
      </c>
      <c r="AL59" s="344">
        <v>5.1812654055360099</v>
      </c>
      <c r="AM59" s="345">
        <v>-37.791941628322604</v>
      </c>
      <c r="AN59" s="345">
        <v>202.13022520484367</v>
      </c>
      <c r="AO59" s="344">
        <v>-353.87451269603133</v>
      </c>
      <c r="AP59" s="344">
        <v>-104.34958667889134</v>
      </c>
      <c r="AQ59" s="345">
        <v>-626.97544465764111</v>
      </c>
      <c r="AR59" s="345">
        <v>-29.341075953350128</v>
      </c>
      <c r="AS59" s="344">
        <v>252.41981714202183</v>
      </c>
      <c r="AT59" s="344">
        <v>261.65348738659554</v>
      </c>
      <c r="AU59" s="345">
        <v>119.22902283347273</v>
      </c>
      <c r="AV59" s="345">
        <v>-123.14176455356539</v>
      </c>
      <c r="AW59" s="346">
        <v>-604.70362655646727</v>
      </c>
      <c r="AX59" s="346">
        <v>-53.292699181968374</v>
      </c>
      <c r="AY59" s="345">
        <v>23.737375608434679</v>
      </c>
      <c r="AZ59" s="345">
        <v>-34.019388985038063</v>
      </c>
      <c r="BA59" s="344">
        <v>-86.259873178386968</v>
      </c>
      <c r="BB59" s="344">
        <v>-45.006539723629658</v>
      </c>
      <c r="BC59" s="345">
        <v>438.86742980621381</v>
      </c>
      <c r="BD59" s="345">
        <v>210.64603715571059</v>
      </c>
      <c r="BE59" s="344">
        <v>172.08690526972157</v>
      </c>
      <c r="BF59" s="344">
        <v>-225.66938604788004</v>
      </c>
      <c r="BG59" s="345">
        <v>-500.43495678423989</v>
      </c>
      <c r="BH59" s="345">
        <v>-131.24262396909285</v>
      </c>
      <c r="BI59" s="344">
        <v>97.786250620459739</v>
      </c>
      <c r="BJ59" s="344">
        <v>385.76066349866977</v>
      </c>
      <c r="BK59" s="345">
        <v>-401.86825396612795</v>
      </c>
      <c r="BL59" s="345">
        <v>50.700890495125407</v>
      </c>
      <c r="BM59" s="344">
        <v>181.05263631651923</v>
      </c>
      <c r="BN59" s="344">
        <v>150.49053331361711</v>
      </c>
      <c r="BO59" s="345">
        <v>-368.52185133944567</v>
      </c>
      <c r="BP59" s="345">
        <v>-109.68830166862472</v>
      </c>
      <c r="BQ59" s="344">
        <v>319.31589122694066</v>
      </c>
      <c r="BR59" s="344">
        <v>-74.096828673092659</v>
      </c>
      <c r="BS59" s="345">
        <v>35.639187956024841</v>
      </c>
      <c r="BT59" s="345">
        <v>-59.384303545360638</v>
      </c>
      <c r="BU59" s="344">
        <v>-194.6476423997988</v>
      </c>
      <c r="BV59" s="344">
        <v>86.138212749137836</v>
      </c>
      <c r="BW59" s="345">
        <v>-441.36171465135038</v>
      </c>
      <c r="BX59" s="345">
        <v>-64.630916948672393</v>
      </c>
      <c r="BY59" s="344">
        <v>376.40984593517987</v>
      </c>
      <c r="BZ59" s="344">
        <v>-106.74965917918405</v>
      </c>
      <c r="CA59" s="345">
        <v>244.83103252894432</v>
      </c>
      <c r="CB59" s="345">
        <v>149.68439216450997</v>
      </c>
      <c r="CC59" s="344">
        <v>-277.03115983803406</v>
      </c>
      <c r="CD59" s="344">
        <v>-304.41326614833275</v>
      </c>
      <c r="CE59" s="345">
        <v>99.696267412902372</v>
      </c>
      <c r="CF59" s="345">
        <v>252.72143064116875</v>
      </c>
      <c r="CG59" s="344">
        <v>1678.5134396803517</v>
      </c>
      <c r="CH59" s="344">
        <v>454.01613556513496</v>
      </c>
      <c r="CI59" s="345">
        <v>2514.3364128943831</v>
      </c>
      <c r="CJ59" s="345">
        <v>-96.06070839209724</v>
      </c>
      <c r="CK59" s="344">
        <v>-125.33252745238485</v>
      </c>
      <c r="CL59" s="344">
        <v>243.73993174130658</v>
      </c>
      <c r="CM59" s="345">
        <v>-235.67677675009648</v>
      </c>
      <c r="CN59" s="345">
        <v>244.4412075689213</v>
      </c>
      <c r="CO59" s="344">
        <v>302.6542005273493</v>
      </c>
      <c r="CP59" s="344">
        <v>106.49463288336983</v>
      </c>
      <c r="CQ59" s="345">
        <v>-524.69448765537823</v>
      </c>
      <c r="CR59" s="345">
        <v>-80.787815486387444</v>
      </c>
      <c r="CS59" s="344">
        <v>-333.26438975799863</v>
      </c>
      <c r="CT59" s="344">
        <v>-219.93318910010521</v>
      </c>
      <c r="CU59" s="345">
        <v>262.89430554801567</v>
      </c>
      <c r="CV59" s="345">
        <v>25.467258080305783</v>
      </c>
      <c r="CW59" s="344">
        <v>90.358881040051187</v>
      </c>
      <c r="CX59" s="344">
        <v>538.00386846879246</v>
      </c>
      <c r="CY59" s="345">
        <v>-153.96784165490635</v>
      </c>
      <c r="CZ59" s="345">
        <v>-229.47723285767313</v>
      </c>
      <c r="DA59" s="344">
        <v>-222.36043841040541</v>
      </c>
      <c r="DB59" s="344">
        <v>-26.595312234773019</v>
      </c>
      <c r="DC59" s="345">
        <v>-155.16659225754725</v>
      </c>
      <c r="DD59" s="345">
        <v>-67.642927701288841</v>
      </c>
      <c r="DE59" s="344">
        <v>-67.753594933092955</v>
      </c>
      <c r="DF59" s="344">
        <v>-186.31520839484347</v>
      </c>
      <c r="DG59" s="345">
        <v>-422.28240361609863</v>
      </c>
      <c r="DH59" s="345">
        <v>208.01451401260852</v>
      </c>
      <c r="DI59" s="344">
        <v>145.2412246518652</v>
      </c>
      <c r="DJ59" s="344">
        <v>450.80118715864455</v>
      </c>
      <c r="DK59" s="345">
        <v>-322.21794157030757</v>
      </c>
      <c r="DL59" s="345">
        <v>-717.4804326566798</v>
      </c>
      <c r="DM59" s="344">
        <v>-246.65242728680971</v>
      </c>
      <c r="DN59" s="344">
        <v>-97.794394500247222</v>
      </c>
      <c r="DO59" s="345">
        <v>-74.080818529930326</v>
      </c>
      <c r="DP59" s="345">
        <v>-9.6343111613817882</v>
      </c>
    </row>
    <row r="60" spans="1:120" ht="15" customHeight="1" x14ac:dyDescent="0.2">
      <c r="A60" s="284"/>
      <c r="F60" s="347" t="s">
        <v>595</v>
      </c>
      <c r="I60" s="349">
        <v>7.9525677199859963</v>
      </c>
      <c r="J60" s="349">
        <v>0</v>
      </c>
      <c r="K60" s="350">
        <v>9.918298792758101</v>
      </c>
      <c r="L60" s="350">
        <v>0</v>
      </c>
      <c r="M60" s="349">
        <v>-40.903878142852598</v>
      </c>
      <c r="N60" s="349">
        <v>0</v>
      </c>
      <c r="O60" s="350">
        <v>-0.99985835364315978</v>
      </c>
      <c r="P60" s="350">
        <v>0</v>
      </c>
      <c r="Q60" s="349">
        <v>-200.4515392291226</v>
      </c>
      <c r="R60" s="349">
        <v>0</v>
      </c>
      <c r="S60" s="350">
        <v>-0.39781408576433375</v>
      </c>
      <c r="T60" s="350">
        <v>0</v>
      </c>
      <c r="U60" s="349">
        <v>2.8817871624931497</v>
      </c>
      <c r="V60" s="349">
        <v>0</v>
      </c>
      <c r="W60" s="350">
        <v>-1.1217003528817724</v>
      </c>
      <c r="X60" s="350">
        <v>0</v>
      </c>
      <c r="Y60" s="349">
        <v>-0.10503776868656622</v>
      </c>
      <c r="Z60" s="349">
        <v>0</v>
      </c>
      <c r="AA60" s="350">
        <v>-0.57401631250003859</v>
      </c>
      <c r="AB60" s="350">
        <v>0</v>
      </c>
      <c r="AC60" s="349">
        <v>2.6060273562730343</v>
      </c>
      <c r="AD60" s="349">
        <v>0</v>
      </c>
      <c r="AE60" s="350">
        <v>-1.0585519205334792</v>
      </c>
      <c r="AF60" s="350">
        <v>0</v>
      </c>
      <c r="AG60" s="349">
        <v>-0.60567285417136407</v>
      </c>
      <c r="AH60" s="349">
        <v>0</v>
      </c>
      <c r="AI60" s="350">
        <v>401.1788758591527</v>
      </c>
      <c r="AJ60" s="350">
        <v>0</v>
      </c>
      <c r="AK60" s="349">
        <v>1098.0779633428294</v>
      </c>
      <c r="AL60" s="349">
        <v>0</v>
      </c>
      <c r="AM60" s="350">
        <v>-400.58028205935494</v>
      </c>
      <c r="AN60" s="350">
        <v>0</v>
      </c>
      <c r="AO60" s="349">
        <v>-0.2298320691062985</v>
      </c>
      <c r="AP60" s="349">
        <v>0</v>
      </c>
      <c r="AQ60" s="350">
        <v>-700.62978067326719</v>
      </c>
      <c r="AR60" s="350">
        <v>0</v>
      </c>
      <c r="AS60" s="349">
        <v>0.6751728339426597</v>
      </c>
      <c r="AT60" s="349">
        <v>0</v>
      </c>
      <c r="AU60" s="350">
        <v>-1.3001394261268882</v>
      </c>
      <c r="AV60" s="350">
        <v>0</v>
      </c>
      <c r="AW60" s="351">
        <v>-400.25432245747129</v>
      </c>
      <c r="AX60" s="351">
        <v>0</v>
      </c>
      <c r="AY60" s="350">
        <v>-0.39262679717732629</v>
      </c>
      <c r="AZ60" s="350">
        <v>0</v>
      </c>
      <c r="BA60" s="349">
        <v>-0.49034839915459272</v>
      </c>
      <c r="BB60" s="349">
        <v>0</v>
      </c>
      <c r="BC60" s="350">
        <v>-0.53221889449395698</v>
      </c>
      <c r="BD60" s="350">
        <v>0</v>
      </c>
      <c r="BE60" s="349">
        <v>-0.27349589870357804</v>
      </c>
      <c r="BF60" s="349">
        <v>0</v>
      </c>
      <c r="BG60" s="350">
        <v>-0.59838969171851764</v>
      </c>
      <c r="BH60" s="350">
        <v>0</v>
      </c>
      <c r="BI60" s="349">
        <v>-3.1014300390477367E-2</v>
      </c>
      <c r="BJ60" s="349">
        <v>0</v>
      </c>
      <c r="BK60" s="350">
        <v>-3.9367780990276824E-2</v>
      </c>
      <c r="BL60" s="350">
        <v>0</v>
      </c>
      <c r="BM60" s="349">
        <v>-1.7731404953382601E-2</v>
      </c>
      <c r="BN60" s="349">
        <v>0</v>
      </c>
      <c r="BO60" s="350">
        <v>-5.8509777413064235E-2</v>
      </c>
      <c r="BP60" s="350">
        <v>0</v>
      </c>
      <c r="BQ60" s="349">
        <v>-1.6416038654174459E-2</v>
      </c>
      <c r="BR60" s="349">
        <v>0</v>
      </c>
      <c r="BS60" s="350">
        <v>-6.2100064104144148E-3</v>
      </c>
      <c r="BT60" s="350">
        <v>0</v>
      </c>
      <c r="BU60" s="349">
        <v>-5.9412516064654586E-2</v>
      </c>
      <c r="BV60" s="349">
        <v>0</v>
      </c>
      <c r="BW60" s="350">
        <v>0.13050116267486511</v>
      </c>
      <c r="BX60" s="350">
        <v>0</v>
      </c>
      <c r="BY60" s="349">
        <v>399.98808980615468</v>
      </c>
      <c r="BZ60" s="349">
        <v>0</v>
      </c>
      <c r="CA60" s="350">
        <v>-9.0368537629386791E-2</v>
      </c>
      <c r="CB60" s="350">
        <v>0</v>
      </c>
      <c r="CC60" s="349">
        <v>-399.33620513796819</v>
      </c>
      <c r="CD60" s="349">
        <v>0</v>
      </c>
      <c r="CE60" s="350">
        <v>-1.7016158518645241E-2</v>
      </c>
      <c r="CF60" s="350">
        <v>0</v>
      </c>
      <c r="CG60" s="349">
        <v>200.27123053521638</v>
      </c>
      <c r="CH60" s="349">
        <v>0</v>
      </c>
      <c r="CI60" s="350">
        <v>1573.9281650004868</v>
      </c>
      <c r="CJ60" s="350">
        <v>0</v>
      </c>
      <c r="CK60" s="349">
        <v>401.50818307986049</v>
      </c>
      <c r="CL60" s="349">
        <v>0</v>
      </c>
      <c r="CM60" s="350">
        <v>0.50199991297309809</v>
      </c>
      <c r="CN60" s="350">
        <v>0</v>
      </c>
      <c r="CO60" s="349">
        <v>-2.1407921221463968</v>
      </c>
      <c r="CP60" s="349">
        <v>0</v>
      </c>
      <c r="CQ60" s="350">
        <v>2.1462228768670917</v>
      </c>
      <c r="CR60" s="350">
        <v>0</v>
      </c>
      <c r="CS60" s="357">
        <v>-2.9800116408358752</v>
      </c>
      <c r="CT60" s="349">
        <v>0</v>
      </c>
      <c r="CU60" s="350">
        <v>12.218743186015505</v>
      </c>
      <c r="CV60" s="350">
        <v>0</v>
      </c>
      <c r="CW60" s="357">
        <v>-200.05334956876948</v>
      </c>
      <c r="CX60" s="349">
        <v>0</v>
      </c>
      <c r="CY60" s="350">
        <v>-150.08996631018545</v>
      </c>
      <c r="CZ60" s="350">
        <v>0</v>
      </c>
      <c r="DA60" s="357">
        <v>-224.98664156496656</v>
      </c>
      <c r="DB60" s="349">
        <v>0</v>
      </c>
      <c r="DC60" s="350">
        <v>-225.19342508644573</v>
      </c>
      <c r="DD60" s="350">
        <v>0</v>
      </c>
      <c r="DE60" s="357">
        <v>-224.9903213897467</v>
      </c>
      <c r="DF60" s="349">
        <v>0</v>
      </c>
      <c r="DG60" s="350">
        <v>-225.0063881269852</v>
      </c>
      <c r="DH60" s="350">
        <v>0</v>
      </c>
      <c r="DI60" s="357">
        <v>-224.99373213555782</v>
      </c>
      <c r="DJ60" s="349">
        <v>0</v>
      </c>
      <c r="DK60" s="350">
        <v>-225.00830089014011</v>
      </c>
      <c r="DL60" s="350">
        <v>0</v>
      </c>
      <c r="DM60" s="357">
        <v>-225.000020519759</v>
      </c>
      <c r="DN60" s="349">
        <v>0</v>
      </c>
      <c r="DO60" s="350">
        <v>-224.99861827760483</v>
      </c>
      <c r="DP60" s="350">
        <v>0</v>
      </c>
    </row>
    <row r="61" spans="1:120" ht="15" customHeight="1" x14ac:dyDescent="0.2">
      <c r="A61" s="284"/>
      <c r="G61" s="347" t="s">
        <v>614</v>
      </c>
      <c r="I61" s="349">
        <v>0</v>
      </c>
      <c r="J61" s="349">
        <v>0</v>
      </c>
      <c r="K61" s="350">
        <v>0</v>
      </c>
      <c r="L61" s="350">
        <v>0</v>
      </c>
      <c r="M61" s="349">
        <v>0</v>
      </c>
      <c r="N61" s="349">
        <v>0</v>
      </c>
      <c r="O61" s="350">
        <v>0</v>
      </c>
      <c r="P61" s="350">
        <v>0</v>
      </c>
      <c r="Q61" s="349">
        <v>-0.4515392291226128</v>
      </c>
      <c r="R61" s="349">
        <v>0</v>
      </c>
      <c r="S61" s="350">
        <v>-0.39781408576433375</v>
      </c>
      <c r="T61" s="350">
        <v>0</v>
      </c>
      <c r="U61" s="349">
        <v>2.8817871624931497</v>
      </c>
      <c r="V61" s="349">
        <v>0</v>
      </c>
      <c r="W61" s="350">
        <v>-1.1217003528817724</v>
      </c>
      <c r="X61" s="350">
        <v>0</v>
      </c>
      <c r="Y61" s="349">
        <v>-0.10503776868656622</v>
      </c>
      <c r="Z61" s="349">
        <v>0</v>
      </c>
      <c r="AA61" s="350">
        <v>-0.57401631250003859</v>
      </c>
      <c r="AB61" s="350">
        <v>0</v>
      </c>
      <c r="AC61" s="349">
        <v>2.6060273562730343</v>
      </c>
      <c r="AD61" s="349">
        <v>0</v>
      </c>
      <c r="AE61" s="350">
        <v>-1.0585519205334792</v>
      </c>
      <c r="AF61" s="350">
        <v>0</v>
      </c>
      <c r="AG61" s="349">
        <v>-0.60567285417136407</v>
      </c>
      <c r="AH61" s="349">
        <v>0</v>
      </c>
      <c r="AI61" s="350">
        <v>1.1788758591526944</v>
      </c>
      <c r="AJ61" s="350">
        <v>0</v>
      </c>
      <c r="AK61" s="349">
        <v>-1.9220366571706728</v>
      </c>
      <c r="AL61" s="349">
        <v>0</v>
      </c>
      <c r="AM61" s="350">
        <v>-0.58028205935515054</v>
      </c>
      <c r="AN61" s="350">
        <v>0</v>
      </c>
      <c r="AO61" s="349">
        <v>-0.2298320691062985</v>
      </c>
      <c r="AP61" s="349">
        <v>0</v>
      </c>
      <c r="AQ61" s="350">
        <v>-0.62978067326722353</v>
      </c>
      <c r="AR61" s="350">
        <v>0</v>
      </c>
      <c r="AS61" s="349">
        <v>0.6751728339426597</v>
      </c>
      <c r="AT61" s="349">
        <v>0</v>
      </c>
      <c r="AU61" s="350">
        <v>-1.3001394261268882</v>
      </c>
      <c r="AV61" s="350">
        <v>0</v>
      </c>
      <c r="AW61" s="351">
        <v>-0.25432245747128013</v>
      </c>
      <c r="AX61" s="351">
        <v>0</v>
      </c>
      <c r="AY61" s="350">
        <v>-0.39262679717732629</v>
      </c>
      <c r="AZ61" s="350">
        <v>0</v>
      </c>
      <c r="BA61" s="349">
        <v>-0.49034839915459272</v>
      </c>
      <c r="BB61" s="349">
        <v>0</v>
      </c>
      <c r="BC61" s="350">
        <v>-0.53221889449395698</v>
      </c>
      <c r="BD61" s="350">
        <v>0</v>
      </c>
      <c r="BE61" s="349">
        <v>-0.27349589870357804</v>
      </c>
      <c r="BF61" s="349">
        <v>0</v>
      </c>
      <c r="BG61" s="350">
        <v>-0.59838969171851764</v>
      </c>
      <c r="BH61" s="350">
        <v>0</v>
      </c>
      <c r="BI61" s="349">
        <v>-3.1014300390477367E-2</v>
      </c>
      <c r="BJ61" s="349">
        <v>0</v>
      </c>
      <c r="BK61" s="350">
        <v>-3.9367780990276824E-2</v>
      </c>
      <c r="BL61" s="350">
        <v>0</v>
      </c>
      <c r="BM61" s="349">
        <v>-1.7731404953382601E-2</v>
      </c>
      <c r="BN61" s="349">
        <v>0</v>
      </c>
      <c r="BO61" s="350">
        <v>-5.8509777413064235E-2</v>
      </c>
      <c r="BP61" s="350">
        <v>0</v>
      </c>
      <c r="BQ61" s="349">
        <v>-1.6416038654174459E-2</v>
      </c>
      <c r="BR61" s="349">
        <v>0</v>
      </c>
      <c r="BS61" s="350">
        <v>-6.2100064104144148E-3</v>
      </c>
      <c r="BT61" s="350">
        <v>0</v>
      </c>
      <c r="BU61" s="349">
        <v>-5.9412516064654586E-2</v>
      </c>
      <c r="BV61" s="349">
        <v>0</v>
      </c>
      <c r="BW61" s="350">
        <v>0.13050116267486511</v>
      </c>
      <c r="BX61" s="350">
        <v>0</v>
      </c>
      <c r="BY61" s="349">
        <v>-1.1910193845327266E-2</v>
      </c>
      <c r="BZ61" s="349">
        <v>0</v>
      </c>
      <c r="CA61" s="350">
        <v>-9.0368537629386791E-2</v>
      </c>
      <c r="CB61" s="350">
        <v>0</v>
      </c>
      <c r="CC61" s="349">
        <v>0.66379486203179972</v>
      </c>
      <c r="CD61" s="349">
        <v>0</v>
      </c>
      <c r="CE61" s="350">
        <v>-1.7016158518645241E-2</v>
      </c>
      <c r="CF61" s="350">
        <v>0</v>
      </c>
      <c r="CG61" s="349">
        <v>0.27123053521638008</v>
      </c>
      <c r="CH61" s="349">
        <v>0</v>
      </c>
      <c r="CI61" s="350">
        <v>8.1837684435277946E-2</v>
      </c>
      <c r="CJ61" s="350">
        <v>0</v>
      </c>
      <c r="CK61" s="349">
        <v>1.5081830798604789</v>
      </c>
      <c r="CL61" s="349">
        <v>0</v>
      </c>
      <c r="CM61" s="350">
        <v>0.50199991297309809</v>
      </c>
      <c r="CN61" s="350">
        <v>0</v>
      </c>
      <c r="CO61" s="349">
        <v>-2.1407921221463968</v>
      </c>
      <c r="CP61" s="349">
        <v>0</v>
      </c>
      <c r="CQ61" s="359">
        <v>-0.95051723312711445</v>
      </c>
      <c r="CR61" s="350">
        <v>0</v>
      </c>
      <c r="CS61" s="357">
        <v>0.11672846915833088</v>
      </c>
      <c r="CT61" s="349">
        <v>0</v>
      </c>
      <c r="CU61" s="359">
        <v>4.430897602942746E-2</v>
      </c>
      <c r="CV61" s="350">
        <v>0</v>
      </c>
      <c r="CW61" s="357">
        <v>2.9372921211098302E-2</v>
      </c>
      <c r="CX61" s="349">
        <v>0</v>
      </c>
      <c r="CY61" s="359">
        <v>-8.9966310185437659E-2</v>
      </c>
      <c r="CZ61" s="350">
        <v>0</v>
      </c>
      <c r="DA61" s="360">
        <v>1.3358435033431482E-2</v>
      </c>
      <c r="DB61" s="349">
        <v>0</v>
      </c>
      <c r="DC61" s="359">
        <v>-0.19342508644572487</v>
      </c>
      <c r="DD61" s="350">
        <v>0</v>
      </c>
      <c r="DE61" s="360">
        <v>9.6786102533118895E-3</v>
      </c>
      <c r="DF61" s="349">
        <v>0</v>
      </c>
      <c r="DG61" s="359">
        <v>-6.3881269852084366E-3</v>
      </c>
      <c r="DH61" s="350">
        <v>0</v>
      </c>
      <c r="DI61" s="360">
        <v>6.2678644421673979E-3</v>
      </c>
      <c r="DJ61" s="349">
        <v>0</v>
      </c>
      <c r="DK61" s="359">
        <v>-8.3008901401138285E-3</v>
      </c>
      <c r="DL61" s="350">
        <v>0</v>
      </c>
      <c r="DM61" s="360">
        <v>-2.0519758992781911E-5</v>
      </c>
      <c r="DN61" s="349">
        <v>0</v>
      </c>
      <c r="DO61" s="359">
        <v>1.3817223951796131E-3</v>
      </c>
      <c r="DP61" s="350">
        <v>0</v>
      </c>
    </row>
    <row r="62" spans="1:120" ht="15" customHeight="1" x14ac:dyDescent="0.2">
      <c r="A62" s="284"/>
      <c r="G62" s="347" t="s">
        <v>615</v>
      </c>
      <c r="I62" s="349">
        <v>7.9525677199859963</v>
      </c>
      <c r="J62" s="349">
        <v>0</v>
      </c>
      <c r="K62" s="350">
        <v>9.918298792758101</v>
      </c>
      <c r="L62" s="350">
        <v>0</v>
      </c>
      <c r="M62" s="349">
        <v>-40.903878142852598</v>
      </c>
      <c r="N62" s="349">
        <v>0</v>
      </c>
      <c r="O62" s="350">
        <v>-0.99985835364315978</v>
      </c>
      <c r="P62" s="350">
        <v>0</v>
      </c>
      <c r="Q62" s="349">
        <v>-200</v>
      </c>
      <c r="R62" s="349">
        <v>0</v>
      </c>
      <c r="S62" s="350">
        <v>0</v>
      </c>
      <c r="T62" s="350">
        <v>0</v>
      </c>
      <c r="U62" s="349">
        <v>0</v>
      </c>
      <c r="V62" s="349">
        <v>0</v>
      </c>
      <c r="W62" s="350">
        <v>0</v>
      </c>
      <c r="X62" s="350">
        <v>0</v>
      </c>
      <c r="Y62" s="349">
        <v>0</v>
      </c>
      <c r="Z62" s="349">
        <v>0</v>
      </c>
      <c r="AA62" s="350">
        <v>0</v>
      </c>
      <c r="AB62" s="350">
        <v>0</v>
      </c>
      <c r="AC62" s="349">
        <v>0</v>
      </c>
      <c r="AD62" s="349">
        <v>0</v>
      </c>
      <c r="AE62" s="350">
        <v>0</v>
      </c>
      <c r="AF62" s="350">
        <v>0</v>
      </c>
      <c r="AG62" s="349">
        <v>0</v>
      </c>
      <c r="AH62" s="349">
        <v>0</v>
      </c>
      <c r="AI62" s="350">
        <v>400</v>
      </c>
      <c r="AJ62" s="350">
        <v>0</v>
      </c>
      <c r="AK62" s="349">
        <v>1100</v>
      </c>
      <c r="AL62" s="349">
        <v>0</v>
      </c>
      <c r="AM62" s="350">
        <v>-399.99999999999977</v>
      </c>
      <c r="AN62" s="350">
        <v>0</v>
      </c>
      <c r="AO62" s="349">
        <v>0</v>
      </c>
      <c r="AP62" s="349">
        <v>0</v>
      </c>
      <c r="AQ62" s="350">
        <v>-700</v>
      </c>
      <c r="AR62" s="350">
        <v>0</v>
      </c>
      <c r="AS62" s="349">
        <v>0</v>
      </c>
      <c r="AT62" s="349">
        <v>0</v>
      </c>
      <c r="AU62" s="350">
        <v>0</v>
      </c>
      <c r="AV62" s="350">
        <v>0</v>
      </c>
      <c r="AW62" s="351">
        <v>-400</v>
      </c>
      <c r="AX62" s="351">
        <v>0</v>
      </c>
      <c r="AY62" s="350">
        <v>0</v>
      </c>
      <c r="AZ62" s="350">
        <v>0</v>
      </c>
      <c r="BA62" s="349">
        <v>0</v>
      </c>
      <c r="BB62" s="349">
        <v>0</v>
      </c>
      <c r="BC62" s="350">
        <v>0</v>
      </c>
      <c r="BD62" s="350">
        <v>0</v>
      </c>
      <c r="BE62" s="349">
        <v>0</v>
      </c>
      <c r="BF62" s="349">
        <v>0</v>
      </c>
      <c r="BG62" s="350">
        <v>0</v>
      </c>
      <c r="BH62" s="350">
        <v>0</v>
      </c>
      <c r="BI62" s="349">
        <v>0</v>
      </c>
      <c r="BJ62" s="349">
        <v>0</v>
      </c>
      <c r="BK62" s="350">
        <v>0</v>
      </c>
      <c r="BL62" s="350">
        <v>0</v>
      </c>
      <c r="BM62" s="349">
        <v>0</v>
      </c>
      <c r="BN62" s="349">
        <v>0</v>
      </c>
      <c r="BO62" s="350">
        <v>0</v>
      </c>
      <c r="BP62" s="350">
        <v>0</v>
      </c>
      <c r="BQ62" s="349">
        <v>0</v>
      </c>
      <c r="BR62" s="349">
        <v>0</v>
      </c>
      <c r="BS62" s="350">
        <v>0</v>
      </c>
      <c r="BT62" s="350">
        <v>0</v>
      </c>
      <c r="BU62" s="349">
        <v>0</v>
      </c>
      <c r="BV62" s="349">
        <v>0</v>
      </c>
      <c r="BW62" s="350">
        <v>0</v>
      </c>
      <c r="BX62" s="350">
        <v>0</v>
      </c>
      <c r="BY62" s="349">
        <v>400</v>
      </c>
      <c r="BZ62" s="349">
        <v>0</v>
      </c>
      <c r="CA62" s="350">
        <v>0</v>
      </c>
      <c r="CB62" s="350">
        <v>0</v>
      </c>
      <c r="CC62" s="349">
        <v>-400</v>
      </c>
      <c r="CD62" s="349">
        <v>0</v>
      </c>
      <c r="CE62" s="350">
        <v>0</v>
      </c>
      <c r="CF62" s="350">
        <v>0</v>
      </c>
      <c r="CG62" s="349">
        <v>200</v>
      </c>
      <c r="CH62" s="349">
        <v>0</v>
      </c>
      <c r="CI62" s="350">
        <v>1573.8463273160517</v>
      </c>
      <c r="CJ62" s="350">
        <v>0</v>
      </c>
      <c r="CK62" s="349">
        <v>400</v>
      </c>
      <c r="CL62" s="349">
        <v>0</v>
      </c>
      <c r="CM62" s="350">
        <v>0</v>
      </c>
      <c r="CN62" s="350">
        <v>0</v>
      </c>
      <c r="CO62" s="349">
        <v>0</v>
      </c>
      <c r="CP62" s="349">
        <v>0</v>
      </c>
      <c r="CQ62" s="350">
        <v>3.0967401099942062</v>
      </c>
      <c r="CR62" s="350">
        <v>0</v>
      </c>
      <c r="CS62" s="349">
        <v>-3.0967401099942062</v>
      </c>
      <c r="CT62" s="349">
        <v>0</v>
      </c>
      <c r="CU62" s="350">
        <v>12.174434209986078</v>
      </c>
      <c r="CV62" s="350">
        <v>0</v>
      </c>
      <c r="CW62" s="349">
        <v>-200.08272248998057</v>
      </c>
      <c r="CX62" s="349">
        <v>0</v>
      </c>
      <c r="CY62" s="350">
        <v>-150</v>
      </c>
      <c r="CZ62" s="350">
        <v>0</v>
      </c>
      <c r="DA62" s="349">
        <v>-225</v>
      </c>
      <c r="DB62" s="349">
        <v>0</v>
      </c>
      <c r="DC62" s="350">
        <v>-225</v>
      </c>
      <c r="DD62" s="350">
        <v>0</v>
      </c>
      <c r="DE62" s="349">
        <v>-225</v>
      </c>
      <c r="DF62" s="349">
        <v>0</v>
      </c>
      <c r="DG62" s="350">
        <v>-225</v>
      </c>
      <c r="DH62" s="350">
        <v>0</v>
      </c>
      <c r="DI62" s="349">
        <v>-225</v>
      </c>
      <c r="DJ62" s="349">
        <v>0</v>
      </c>
      <c r="DK62" s="350">
        <v>-225</v>
      </c>
      <c r="DL62" s="350">
        <v>0</v>
      </c>
      <c r="DM62" s="349">
        <v>-225</v>
      </c>
      <c r="DN62" s="349">
        <v>0</v>
      </c>
      <c r="DO62" s="350">
        <v>-225</v>
      </c>
      <c r="DP62" s="350">
        <v>0</v>
      </c>
    </row>
    <row r="63" spans="1:120" ht="15" customHeight="1" x14ac:dyDescent="0.2">
      <c r="A63" s="284"/>
      <c r="H63" s="348" t="s">
        <v>616</v>
      </c>
      <c r="I63" s="349"/>
      <c r="J63" s="349"/>
      <c r="K63" s="350"/>
      <c r="L63" s="350"/>
      <c r="M63" s="349"/>
      <c r="N63" s="349"/>
      <c r="O63" s="350"/>
      <c r="P63" s="350"/>
      <c r="Q63" s="349"/>
      <c r="R63" s="349"/>
      <c r="S63" s="350"/>
      <c r="T63" s="350"/>
      <c r="U63" s="349"/>
      <c r="V63" s="349"/>
      <c r="W63" s="350"/>
      <c r="X63" s="350"/>
      <c r="Y63" s="349"/>
      <c r="Z63" s="349"/>
      <c r="AA63" s="350"/>
      <c r="AB63" s="350"/>
      <c r="AC63" s="349"/>
      <c r="AD63" s="349"/>
      <c r="AE63" s="350"/>
      <c r="AF63" s="350"/>
      <c r="AG63" s="349"/>
      <c r="AH63" s="349"/>
      <c r="AI63" s="350"/>
      <c r="AJ63" s="350"/>
      <c r="AK63" s="349"/>
      <c r="AL63" s="349"/>
      <c r="AM63" s="350"/>
      <c r="AN63" s="350"/>
      <c r="AO63" s="349"/>
      <c r="AP63" s="349"/>
      <c r="AQ63" s="350"/>
      <c r="AR63" s="350"/>
      <c r="AS63" s="349"/>
      <c r="AT63" s="349"/>
      <c r="AU63" s="350"/>
      <c r="AV63" s="350"/>
      <c r="AW63" s="351"/>
      <c r="AX63" s="351"/>
      <c r="AY63" s="350"/>
      <c r="AZ63" s="350"/>
      <c r="BA63" s="349"/>
      <c r="BB63" s="349"/>
      <c r="BC63" s="350"/>
      <c r="BD63" s="350"/>
      <c r="BE63" s="349"/>
      <c r="BF63" s="349"/>
      <c r="BG63" s="350"/>
      <c r="BH63" s="350"/>
      <c r="BI63" s="349"/>
      <c r="BJ63" s="349"/>
      <c r="BK63" s="350"/>
      <c r="BL63" s="350"/>
      <c r="BM63" s="349"/>
      <c r="BN63" s="349"/>
      <c r="BO63" s="350"/>
      <c r="BP63" s="350"/>
      <c r="BQ63" s="349"/>
      <c r="BR63" s="349"/>
      <c r="BS63" s="350"/>
      <c r="BT63" s="350"/>
      <c r="BU63" s="349"/>
      <c r="BV63" s="349"/>
      <c r="BW63" s="350"/>
      <c r="BX63" s="350"/>
      <c r="BY63" s="349"/>
      <c r="BZ63" s="349"/>
      <c r="CA63" s="350"/>
      <c r="CB63" s="350"/>
      <c r="CC63" s="349"/>
      <c r="CD63" s="349"/>
      <c r="CE63" s="350"/>
      <c r="CF63" s="350"/>
      <c r="CG63" s="349"/>
      <c r="CH63" s="349"/>
      <c r="CI63" s="350"/>
      <c r="CJ63" s="350"/>
      <c r="CK63" s="349">
        <v>400</v>
      </c>
      <c r="CL63" s="349"/>
      <c r="CM63" s="350">
        <v>0</v>
      </c>
      <c r="CN63" s="350"/>
      <c r="CO63" s="349">
        <v>0</v>
      </c>
      <c r="CP63" s="349"/>
      <c r="CQ63" s="350">
        <v>0</v>
      </c>
      <c r="CR63" s="350"/>
      <c r="CS63" s="349">
        <v>0</v>
      </c>
      <c r="CT63" s="349"/>
      <c r="CU63" s="350">
        <v>0</v>
      </c>
      <c r="CV63" s="350"/>
      <c r="CW63" s="349">
        <v>-200</v>
      </c>
      <c r="CX63" s="349"/>
      <c r="CY63" s="350">
        <v>-150</v>
      </c>
      <c r="CZ63" s="350"/>
      <c r="DA63" s="349">
        <v>-225</v>
      </c>
      <c r="DB63" s="349"/>
      <c r="DC63" s="350">
        <v>-225</v>
      </c>
      <c r="DD63" s="350"/>
      <c r="DE63" s="349">
        <v>-225</v>
      </c>
      <c r="DF63" s="349"/>
      <c r="DG63" s="350">
        <v>-225</v>
      </c>
      <c r="DH63" s="350"/>
      <c r="DI63" s="349">
        <v>-225</v>
      </c>
      <c r="DJ63" s="349"/>
      <c r="DK63" s="350">
        <v>-225</v>
      </c>
      <c r="DL63" s="350"/>
      <c r="DM63" s="349">
        <v>-225</v>
      </c>
      <c r="DN63" s="349"/>
      <c r="DO63" s="350">
        <v>-225</v>
      </c>
      <c r="DP63" s="350"/>
    </row>
    <row r="64" spans="1:120" ht="15" customHeight="1" x14ac:dyDescent="0.2">
      <c r="A64" s="284"/>
      <c r="H64" s="348" t="s">
        <v>617</v>
      </c>
      <c r="I64" s="349"/>
      <c r="J64" s="349"/>
      <c r="K64" s="350"/>
      <c r="L64" s="350"/>
      <c r="M64" s="349"/>
      <c r="N64" s="349"/>
      <c r="O64" s="350"/>
      <c r="P64" s="350"/>
      <c r="Q64" s="349"/>
      <c r="R64" s="349"/>
      <c r="S64" s="350"/>
      <c r="T64" s="350"/>
      <c r="U64" s="349"/>
      <c r="V64" s="349"/>
      <c r="W64" s="350"/>
      <c r="X64" s="350"/>
      <c r="Y64" s="349"/>
      <c r="Z64" s="349"/>
      <c r="AA64" s="350"/>
      <c r="AB64" s="350"/>
      <c r="AC64" s="349"/>
      <c r="AD64" s="349"/>
      <c r="AE64" s="350"/>
      <c r="AF64" s="350"/>
      <c r="AG64" s="349"/>
      <c r="AH64" s="349"/>
      <c r="AI64" s="350"/>
      <c r="AJ64" s="350"/>
      <c r="AK64" s="349"/>
      <c r="AL64" s="349"/>
      <c r="AM64" s="350"/>
      <c r="AN64" s="350"/>
      <c r="AO64" s="349"/>
      <c r="AP64" s="349"/>
      <c r="AQ64" s="350"/>
      <c r="AR64" s="350"/>
      <c r="AS64" s="349"/>
      <c r="AT64" s="349"/>
      <c r="AU64" s="350"/>
      <c r="AV64" s="350"/>
      <c r="AW64" s="351"/>
      <c r="AX64" s="351"/>
      <c r="AY64" s="350"/>
      <c r="AZ64" s="350"/>
      <c r="BA64" s="349"/>
      <c r="BB64" s="349"/>
      <c r="BC64" s="350"/>
      <c r="BD64" s="350"/>
      <c r="BE64" s="349"/>
      <c r="BF64" s="349"/>
      <c r="BG64" s="350"/>
      <c r="BH64" s="350"/>
      <c r="BI64" s="349"/>
      <c r="BJ64" s="349"/>
      <c r="BK64" s="350"/>
      <c r="BL64" s="350"/>
      <c r="BM64" s="349"/>
      <c r="BN64" s="349"/>
      <c r="BO64" s="350"/>
      <c r="BP64" s="350"/>
      <c r="BQ64" s="349"/>
      <c r="BR64" s="349"/>
      <c r="BS64" s="350"/>
      <c r="BT64" s="350"/>
      <c r="BU64" s="349"/>
      <c r="BV64" s="349"/>
      <c r="BW64" s="350"/>
      <c r="BX64" s="350"/>
      <c r="BY64" s="349"/>
      <c r="BZ64" s="349"/>
      <c r="CA64" s="350"/>
      <c r="CB64" s="350"/>
      <c r="CC64" s="349"/>
      <c r="CD64" s="349"/>
      <c r="CE64" s="350"/>
      <c r="CF64" s="350"/>
      <c r="CG64" s="349"/>
      <c r="CH64" s="349"/>
      <c r="CI64" s="350"/>
      <c r="CJ64" s="350"/>
      <c r="CK64" s="349">
        <v>0</v>
      </c>
      <c r="CL64" s="349"/>
      <c r="CM64" s="350">
        <v>0</v>
      </c>
      <c r="CN64" s="350"/>
      <c r="CO64" s="349">
        <v>0</v>
      </c>
      <c r="CP64" s="349"/>
      <c r="CQ64" s="350">
        <v>3.0967401099942062</v>
      </c>
      <c r="CR64" s="350"/>
      <c r="CS64" s="349">
        <v>-3.0967401099942062</v>
      </c>
      <c r="CT64" s="349"/>
      <c r="CU64" s="350">
        <v>12.174434209986078</v>
      </c>
      <c r="CV64" s="350"/>
      <c r="CW64" s="349">
        <v>-8.2722489980579184E-2</v>
      </c>
      <c r="CX64" s="349"/>
      <c r="CY64" s="350">
        <v>0</v>
      </c>
      <c r="CZ64" s="350"/>
      <c r="DA64" s="349">
        <v>0</v>
      </c>
      <c r="DB64" s="349"/>
      <c r="DC64" s="350">
        <v>0</v>
      </c>
      <c r="DD64" s="350"/>
      <c r="DE64" s="349">
        <v>0</v>
      </c>
      <c r="DF64" s="349"/>
      <c r="DG64" s="350">
        <v>0</v>
      </c>
      <c r="DH64" s="350"/>
      <c r="DI64" s="349">
        <v>0</v>
      </c>
      <c r="DJ64" s="349"/>
      <c r="DK64" s="350">
        <v>0</v>
      </c>
      <c r="DL64" s="350"/>
      <c r="DM64" s="349">
        <v>0</v>
      </c>
      <c r="DN64" s="349"/>
      <c r="DO64" s="350">
        <v>0</v>
      </c>
      <c r="DP64" s="350"/>
    </row>
    <row r="65" spans="1:120" ht="15" customHeight="1" x14ac:dyDescent="0.2">
      <c r="A65" s="284"/>
      <c r="F65" s="347" t="s">
        <v>596</v>
      </c>
      <c r="I65" s="349">
        <v>-31.390486135656147</v>
      </c>
      <c r="J65" s="349">
        <v>-65.600717066661502</v>
      </c>
      <c r="K65" s="350">
        <v>15.562667937633933</v>
      </c>
      <c r="L65" s="350">
        <v>152.95885239049551</v>
      </c>
      <c r="M65" s="349">
        <v>94.557781710466088</v>
      </c>
      <c r="N65" s="349">
        <v>90.562296421330643</v>
      </c>
      <c r="O65" s="350">
        <v>392.02235982815432</v>
      </c>
      <c r="P65" s="350">
        <v>-16.053403469860086</v>
      </c>
      <c r="Q65" s="349">
        <v>155.84835349395053</v>
      </c>
      <c r="R65" s="349">
        <v>-117.79211672942591</v>
      </c>
      <c r="S65" s="350">
        <v>-149.61500519891956</v>
      </c>
      <c r="T65" s="350">
        <v>-186.37262080286763</v>
      </c>
      <c r="U65" s="349">
        <v>101.08591534047582</v>
      </c>
      <c r="V65" s="349">
        <v>15.859600704277511</v>
      </c>
      <c r="W65" s="350">
        <v>199.4833506016987</v>
      </c>
      <c r="X65" s="350">
        <v>-170.40231652221428</v>
      </c>
      <c r="Y65" s="349">
        <v>-173.30491490779605</v>
      </c>
      <c r="Z65" s="349">
        <v>149.85911400012583</v>
      </c>
      <c r="AA65" s="350">
        <v>37.433841416238465</v>
      </c>
      <c r="AB65" s="350">
        <v>-21.469689944965978</v>
      </c>
      <c r="AC65" s="349">
        <v>-126.98513481505438</v>
      </c>
      <c r="AD65" s="349">
        <v>-58.992535640809137</v>
      </c>
      <c r="AE65" s="350">
        <v>-30.257010599022806</v>
      </c>
      <c r="AF65" s="350">
        <v>206.28897633316387</v>
      </c>
      <c r="AG65" s="349">
        <v>-11.566293725991045</v>
      </c>
      <c r="AH65" s="349">
        <v>-15.179817490125572</v>
      </c>
      <c r="AI65" s="350">
        <v>11.177764074278912</v>
      </c>
      <c r="AJ65" s="350">
        <v>-49.44365461323315</v>
      </c>
      <c r="AK65" s="349">
        <v>-3.4857364900594803</v>
      </c>
      <c r="AL65" s="349">
        <v>5.1812654055360099</v>
      </c>
      <c r="AM65" s="350">
        <v>362.78834043103234</v>
      </c>
      <c r="AN65" s="350">
        <v>202.13022520484367</v>
      </c>
      <c r="AO65" s="349">
        <v>-353.64468062692504</v>
      </c>
      <c r="AP65" s="349">
        <v>-104.34958667889134</v>
      </c>
      <c r="AQ65" s="350">
        <v>73.654336015626086</v>
      </c>
      <c r="AR65" s="350">
        <v>-29.341075953350128</v>
      </c>
      <c r="AS65" s="349">
        <v>251.74464430807916</v>
      </c>
      <c r="AT65" s="349">
        <v>261.65348738659554</v>
      </c>
      <c r="AU65" s="350">
        <v>120.52916225959962</v>
      </c>
      <c r="AV65" s="350">
        <v>-123.14176455356539</v>
      </c>
      <c r="AW65" s="351">
        <v>-204.44930409899598</v>
      </c>
      <c r="AX65" s="351">
        <v>-53.292699181968374</v>
      </c>
      <c r="AY65" s="350">
        <v>24.130002405612004</v>
      </c>
      <c r="AZ65" s="350">
        <v>-34.019388985038063</v>
      </c>
      <c r="BA65" s="349">
        <v>-85.76952477923237</v>
      </c>
      <c r="BB65" s="349">
        <v>-45.006539723629658</v>
      </c>
      <c r="BC65" s="350">
        <v>439.39964870070776</v>
      </c>
      <c r="BD65" s="350">
        <v>210.64603715571059</v>
      </c>
      <c r="BE65" s="349">
        <v>172.36040116842514</v>
      </c>
      <c r="BF65" s="349">
        <v>-225.66938604788004</v>
      </c>
      <c r="BG65" s="350">
        <v>-499.83656709252136</v>
      </c>
      <c r="BH65" s="350">
        <v>-131.24262396909285</v>
      </c>
      <c r="BI65" s="349">
        <v>97.817264920850221</v>
      </c>
      <c r="BJ65" s="349">
        <v>385.76066349866977</v>
      </c>
      <c r="BK65" s="350">
        <v>-401.82888618513766</v>
      </c>
      <c r="BL65" s="350">
        <v>50.700890495125407</v>
      </c>
      <c r="BM65" s="349">
        <v>181.07036772147262</v>
      </c>
      <c r="BN65" s="349">
        <v>150.49053331361711</v>
      </c>
      <c r="BO65" s="350">
        <v>-368.46334156203261</v>
      </c>
      <c r="BP65" s="350">
        <v>-109.68830166862472</v>
      </c>
      <c r="BQ65" s="349">
        <v>319.33230726559486</v>
      </c>
      <c r="BR65" s="349">
        <v>-74.096828673092659</v>
      </c>
      <c r="BS65" s="350">
        <v>35.645397962435254</v>
      </c>
      <c r="BT65" s="350">
        <v>-59.384303545360638</v>
      </c>
      <c r="BU65" s="349">
        <v>-194.58822988373413</v>
      </c>
      <c r="BV65" s="349">
        <v>86.138212749137836</v>
      </c>
      <c r="BW65" s="350">
        <v>-441.49221581402526</v>
      </c>
      <c r="BX65" s="350">
        <v>-64.630916948672393</v>
      </c>
      <c r="BY65" s="349">
        <v>-23.578243870974802</v>
      </c>
      <c r="BZ65" s="349">
        <v>-106.74965917918405</v>
      </c>
      <c r="CA65" s="350">
        <v>244.92140106657371</v>
      </c>
      <c r="CB65" s="350">
        <v>149.68439216450997</v>
      </c>
      <c r="CC65" s="349">
        <v>122.30504529993414</v>
      </c>
      <c r="CD65" s="349">
        <v>-304.41326614833275</v>
      </c>
      <c r="CE65" s="350">
        <v>99.713283571421016</v>
      </c>
      <c r="CF65" s="350">
        <v>252.72143064116875</v>
      </c>
      <c r="CG65" s="349">
        <v>1478.2422091451353</v>
      </c>
      <c r="CH65" s="349">
        <v>454.01613556513496</v>
      </c>
      <c r="CI65" s="350">
        <v>940.40824789389626</v>
      </c>
      <c r="CJ65" s="350">
        <v>-96.06070839209724</v>
      </c>
      <c r="CK65" s="349">
        <v>-526.84071053224534</v>
      </c>
      <c r="CL65" s="349">
        <v>243.73993174130658</v>
      </c>
      <c r="CM65" s="350">
        <v>-236.17877666306958</v>
      </c>
      <c r="CN65" s="350">
        <v>244.4412075689213</v>
      </c>
      <c r="CO65" s="349">
        <v>304.79499264949573</v>
      </c>
      <c r="CP65" s="349">
        <v>106.49463288336983</v>
      </c>
      <c r="CQ65" s="350">
        <v>-526.84071053224534</v>
      </c>
      <c r="CR65" s="350">
        <v>-80.787815486387444</v>
      </c>
      <c r="CS65" s="349">
        <v>-330.28437811716276</v>
      </c>
      <c r="CT65" s="349">
        <v>-219.93318910010521</v>
      </c>
      <c r="CU65" s="350">
        <v>250.67556236200016</v>
      </c>
      <c r="CV65" s="350">
        <v>25.467258080305783</v>
      </c>
      <c r="CW65" s="349">
        <v>290.41223060882066</v>
      </c>
      <c r="CX65" s="349">
        <v>538.00386846879246</v>
      </c>
      <c r="CY65" s="350">
        <v>-3.8778753447209056</v>
      </c>
      <c r="CZ65" s="350">
        <v>-229.47723285767313</v>
      </c>
      <c r="DA65" s="349">
        <v>2.6262031545611535</v>
      </c>
      <c r="DB65" s="349">
        <v>-26.595312234773019</v>
      </c>
      <c r="DC65" s="350">
        <v>70.026832828898478</v>
      </c>
      <c r="DD65" s="350">
        <v>-67.642927701288841</v>
      </c>
      <c r="DE65" s="349">
        <v>157.23672645665374</v>
      </c>
      <c r="DF65" s="349">
        <v>-186.31520839484347</v>
      </c>
      <c r="DG65" s="350">
        <v>-197.27601548911343</v>
      </c>
      <c r="DH65" s="350">
        <v>208.01451401260852</v>
      </c>
      <c r="DI65" s="349">
        <v>370.23495678742302</v>
      </c>
      <c r="DJ65" s="349">
        <v>450.80118715864455</v>
      </c>
      <c r="DK65" s="350">
        <v>-97.209640680167468</v>
      </c>
      <c r="DL65" s="350">
        <v>-717.4804326566798</v>
      </c>
      <c r="DM65" s="349">
        <v>-21.652406767050707</v>
      </c>
      <c r="DN65" s="349">
        <v>-97.794394500247222</v>
      </c>
      <c r="DO65" s="350">
        <v>150.91779974767451</v>
      </c>
      <c r="DP65" s="350">
        <v>-9.6343111613817882</v>
      </c>
    </row>
    <row r="66" spans="1:120" ht="15" customHeight="1" x14ac:dyDescent="0.2">
      <c r="A66" s="284"/>
      <c r="G66" s="347" t="s">
        <v>597</v>
      </c>
      <c r="I66" s="349">
        <v>-31.390486135656147</v>
      </c>
      <c r="J66" s="349">
        <v>-115.78327257208963</v>
      </c>
      <c r="K66" s="350">
        <v>15.562667937633933</v>
      </c>
      <c r="L66" s="350">
        <v>149.43613012800893</v>
      </c>
      <c r="M66" s="349">
        <v>94.557781710466088</v>
      </c>
      <c r="N66" s="349">
        <v>38.114875221682269</v>
      </c>
      <c r="O66" s="350">
        <v>392.02235982815432</v>
      </c>
      <c r="P66" s="350">
        <v>-19.475408520910435</v>
      </c>
      <c r="Q66" s="349">
        <v>155.84835349395053</v>
      </c>
      <c r="R66" s="349">
        <v>-165.42873364690303</v>
      </c>
      <c r="S66" s="350">
        <v>-149.61500519891956</v>
      </c>
      <c r="T66" s="350">
        <v>13.811719137429805</v>
      </c>
      <c r="U66" s="349">
        <v>101.08591534047582</v>
      </c>
      <c r="V66" s="349">
        <v>55.355819058886937</v>
      </c>
      <c r="W66" s="350">
        <v>199.4833506016987</v>
      </c>
      <c r="X66" s="350">
        <v>-124.85165255778696</v>
      </c>
      <c r="Y66" s="349">
        <v>-173.30491490779605</v>
      </c>
      <c r="Z66" s="349">
        <v>50.61201326225455</v>
      </c>
      <c r="AA66" s="350">
        <v>37.433841416238465</v>
      </c>
      <c r="AB66" s="350">
        <v>23.151018981129653</v>
      </c>
      <c r="AC66" s="349">
        <v>-126.98513481505438</v>
      </c>
      <c r="AD66" s="349">
        <v>-15.400152998058275</v>
      </c>
      <c r="AE66" s="350">
        <v>-30.257010599022806</v>
      </c>
      <c r="AF66" s="350">
        <v>83.15053349557229</v>
      </c>
      <c r="AG66" s="349">
        <v>-11.566293725991045</v>
      </c>
      <c r="AH66" s="349">
        <v>47.088799742729805</v>
      </c>
      <c r="AI66" s="350">
        <v>11.177764074278912</v>
      </c>
      <c r="AJ66" s="350">
        <v>-59.269855837929811</v>
      </c>
      <c r="AK66" s="349">
        <v>-3.4857364900594803</v>
      </c>
      <c r="AL66" s="349">
        <v>41.382194572472486</v>
      </c>
      <c r="AM66" s="350">
        <v>362.78834043103234</v>
      </c>
      <c r="AN66" s="350">
        <v>122.36616252450028</v>
      </c>
      <c r="AO66" s="349">
        <v>-353.64468062692504</v>
      </c>
      <c r="AP66" s="349">
        <v>-23.11522162599465</v>
      </c>
      <c r="AQ66" s="350">
        <v>73.654336015626086</v>
      </c>
      <c r="AR66" s="350">
        <v>-22.337965717907537</v>
      </c>
      <c r="AS66" s="349">
        <v>251.74464430807916</v>
      </c>
      <c r="AT66" s="349">
        <v>139.04656271440626</v>
      </c>
      <c r="AU66" s="350">
        <v>120.52916225959962</v>
      </c>
      <c r="AV66" s="350">
        <v>-98.027158431764406</v>
      </c>
      <c r="AW66" s="351">
        <v>-204.44930409899598</v>
      </c>
      <c r="AX66" s="351">
        <v>-12.936449256538936</v>
      </c>
      <c r="AY66" s="350">
        <v>24.130002405612004</v>
      </c>
      <c r="AZ66" s="350">
        <v>-207.70610755280461</v>
      </c>
      <c r="BA66" s="349">
        <v>-85.76952477923237</v>
      </c>
      <c r="BB66" s="349">
        <v>-27.364138952132407</v>
      </c>
      <c r="BC66" s="350">
        <v>439.39964870070776</v>
      </c>
      <c r="BD66" s="350">
        <v>259.21081139585533</v>
      </c>
      <c r="BE66" s="349">
        <v>172.36040116842514</v>
      </c>
      <c r="BF66" s="349">
        <v>-174.48933229736997</v>
      </c>
      <c r="BG66" s="350">
        <v>-499.83656709252136</v>
      </c>
      <c r="BH66" s="350">
        <v>-78.453043616271998</v>
      </c>
      <c r="BI66" s="349">
        <v>97.817264920850221</v>
      </c>
      <c r="BJ66" s="349">
        <v>83.163065054252172</v>
      </c>
      <c r="BK66" s="350">
        <v>-401.82888618513766</v>
      </c>
      <c r="BL66" s="350">
        <v>-19.051241645101015</v>
      </c>
      <c r="BM66" s="349">
        <v>181.07036772147262</v>
      </c>
      <c r="BN66" s="349">
        <v>13.698431962789527</v>
      </c>
      <c r="BO66" s="350">
        <v>-368.46334156203261</v>
      </c>
      <c r="BP66" s="350">
        <v>-8.0687376711080105</v>
      </c>
      <c r="BQ66" s="349">
        <v>319.33230726559486</v>
      </c>
      <c r="BR66" s="349">
        <v>103.94285679922086</v>
      </c>
      <c r="BS66" s="350">
        <v>35.645397962435254</v>
      </c>
      <c r="BT66" s="350">
        <v>-103.39151701543307</v>
      </c>
      <c r="BU66" s="349">
        <v>-194.58822988373413</v>
      </c>
      <c r="BV66" s="349">
        <v>259.72238801038083</v>
      </c>
      <c r="BW66" s="350">
        <v>-441.49221581402526</v>
      </c>
      <c r="BX66" s="350">
        <v>-30.527980220835389</v>
      </c>
      <c r="BY66" s="349">
        <v>-23.578243870974802</v>
      </c>
      <c r="BZ66" s="349">
        <v>-30.317179747425484</v>
      </c>
      <c r="CA66" s="350">
        <v>244.92140106657371</v>
      </c>
      <c r="CB66" s="350">
        <v>59.64405122384369</v>
      </c>
      <c r="CC66" s="349">
        <v>122.30504529993414</v>
      </c>
      <c r="CD66" s="349">
        <v>-202.39845327584231</v>
      </c>
      <c r="CE66" s="350">
        <v>99.713283571421016</v>
      </c>
      <c r="CF66" s="350">
        <v>325.04824667703355</v>
      </c>
      <c r="CG66" s="349">
        <v>1478.2422091451353</v>
      </c>
      <c r="CH66" s="349">
        <v>255.40917558275635</v>
      </c>
      <c r="CI66" s="350">
        <v>940.40824789389626</v>
      </c>
      <c r="CJ66" s="350">
        <v>-122.20357049714767</v>
      </c>
      <c r="CK66" s="349">
        <v>-526.84071053224534</v>
      </c>
      <c r="CL66" s="349">
        <v>327.59099584059788</v>
      </c>
      <c r="CM66" s="350">
        <v>-236.17877666306958</v>
      </c>
      <c r="CN66" s="350">
        <v>276.19319977287182</v>
      </c>
      <c r="CO66" s="349">
        <v>304.79499264949573</v>
      </c>
      <c r="CP66" s="349">
        <v>-120.13006488049973</v>
      </c>
      <c r="CQ66" s="350">
        <v>-526.84071053224534</v>
      </c>
      <c r="CR66" s="350">
        <v>121.33286594219089</v>
      </c>
      <c r="CS66" s="349">
        <v>-330.28437811716276</v>
      </c>
      <c r="CT66" s="349">
        <v>-209.22285867174833</v>
      </c>
      <c r="CU66" s="350">
        <v>250.67556236200016</v>
      </c>
      <c r="CV66" s="350">
        <v>-130.50964593216372</v>
      </c>
      <c r="CW66" s="349">
        <v>290.41223060882066</v>
      </c>
      <c r="CX66" s="349">
        <v>177.80064951118538</v>
      </c>
      <c r="CY66" s="350">
        <v>-3.8778753447209056</v>
      </c>
      <c r="CZ66" s="350">
        <v>-309.60515507358593</v>
      </c>
      <c r="DA66" s="349">
        <v>2.6262031545611535</v>
      </c>
      <c r="DB66" s="349">
        <v>-230.79022938256139</v>
      </c>
      <c r="DC66" s="350">
        <v>70.026832828898478</v>
      </c>
      <c r="DD66" s="350">
        <v>-68.689953531052083</v>
      </c>
      <c r="DE66" s="349">
        <v>157.23672645665374</v>
      </c>
      <c r="DF66" s="349">
        <v>30.438351444553064</v>
      </c>
      <c r="DG66" s="350">
        <v>-197.27601548911343</v>
      </c>
      <c r="DH66" s="350">
        <v>-157.91837756695054</v>
      </c>
      <c r="DI66" s="349">
        <v>370.23495678742302</v>
      </c>
      <c r="DJ66" s="349">
        <v>270.67110013791898</v>
      </c>
      <c r="DK66" s="350">
        <v>-97.209640680167468</v>
      </c>
      <c r="DL66" s="350">
        <v>-235.58092091898948</v>
      </c>
      <c r="DM66" s="349">
        <v>-21.652406767050707</v>
      </c>
      <c r="DN66" s="349">
        <v>-90.580837173409577</v>
      </c>
      <c r="DO66" s="350">
        <v>150.91779974767451</v>
      </c>
      <c r="DP66" s="350">
        <v>6.3719722717102059</v>
      </c>
    </row>
    <row r="67" spans="1:120" ht="15" customHeight="1" x14ac:dyDescent="0.2">
      <c r="A67" s="284"/>
      <c r="G67" s="347" t="s">
        <v>598</v>
      </c>
      <c r="I67" s="349">
        <v>0</v>
      </c>
      <c r="J67" s="349">
        <v>50.182555505428127</v>
      </c>
      <c r="K67" s="350">
        <v>0</v>
      </c>
      <c r="L67" s="350">
        <v>3.5227222624865817</v>
      </c>
      <c r="M67" s="349">
        <v>0</v>
      </c>
      <c r="N67" s="349">
        <v>52.447421199648375</v>
      </c>
      <c r="O67" s="350">
        <v>0</v>
      </c>
      <c r="P67" s="350">
        <v>3.4220050510503484</v>
      </c>
      <c r="Q67" s="349">
        <v>0</v>
      </c>
      <c r="R67" s="349">
        <v>47.636616917477113</v>
      </c>
      <c r="S67" s="350">
        <v>0</v>
      </c>
      <c r="T67" s="350">
        <v>-200.18433994029743</v>
      </c>
      <c r="U67" s="349">
        <v>0</v>
      </c>
      <c r="V67" s="349">
        <v>-39.496218354609425</v>
      </c>
      <c r="W67" s="350">
        <v>0</v>
      </c>
      <c r="X67" s="350">
        <v>-45.550663964427315</v>
      </c>
      <c r="Y67" s="349">
        <v>0</v>
      </c>
      <c r="Z67" s="349">
        <v>99.247100737871278</v>
      </c>
      <c r="AA67" s="350">
        <v>0</v>
      </c>
      <c r="AB67" s="350">
        <v>-44.620708926095631</v>
      </c>
      <c r="AC67" s="349">
        <v>0</v>
      </c>
      <c r="AD67" s="349">
        <v>-43.592382642750863</v>
      </c>
      <c r="AE67" s="350">
        <v>0</v>
      </c>
      <c r="AF67" s="350">
        <v>123.13844283759158</v>
      </c>
      <c r="AG67" s="349">
        <v>0</v>
      </c>
      <c r="AH67" s="349">
        <v>-62.268617232855377</v>
      </c>
      <c r="AI67" s="350">
        <v>0</v>
      </c>
      <c r="AJ67" s="350">
        <v>9.8262012246966606</v>
      </c>
      <c r="AK67" s="349">
        <v>0</v>
      </c>
      <c r="AL67" s="349">
        <v>-36.200929166936476</v>
      </c>
      <c r="AM67" s="350">
        <v>0</v>
      </c>
      <c r="AN67" s="350">
        <v>79.764062680343386</v>
      </c>
      <c r="AO67" s="349">
        <v>0</v>
      </c>
      <c r="AP67" s="349">
        <v>-81.234365052896692</v>
      </c>
      <c r="AQ67" s="350">
        <v>0</v>
      </c>
      <c r="AR67" s="350">
        <v>-7.0031102354425911</v>
      </c>
      <c r="AS67" s="349">
        <v>0</v>
      </c>
      <c r="AT67" s="349">
        <v>122.60692467218928</v>
      </c>
      <c r="AU67" s="350">
        <v>0</v>
      </c>
      <c r="AV67" s="350">
        <v>-25.114606121800989</v>
      </c>
      <c r="AW67" s="351">
        <v>0</v>
      </c>
      <c r="AX67" s="351">
        <v>-40.356249925429438</v>
      </c>
      <c r="AY67" s="350">
        <v>0</v>
      </c>
      <c r="AZ67" s="350">
        <v>173.68671856776655</v>
      </c>
      <c r="BA67" s="349">
        <v>0</v>
      </c>
      <c r="BB67" s="349">
        <v>-17.64240077149725</v>
      </c>
      <c r="BC67" s="350">
        <v>0</v>
      </c>
      <c r="BD67" s="350">
        <v>-48.564774240144743</v>
      </c>
      <c r="BE67" s="349">
        <v>0</v>
      </c>
      <c r="BF67" s="349">
        <v>-51.180053750510069</v>
      </c>
      <c r="BG67" s="350">
        <v>0</v>
      </c>
      <c r="BH67" s="350">
        <v>-52.789580352820849</v>
      </c>
      <c r="BI67" s="349">
        <v>0</v>
      </c>
      <c r="BJ67" s="349">
        <v>302.5975984444176</v>
      </c>
      <c r="BK67" s="350">
        <v>0</v>
      </c>
      <c r="BL67" s="350">
        <v>69.752132140226422</v>
      </c>
      <c r="BM67" s="349">
        <v>0</v>
      </c>
      <c r="BN67" s="349">
        <v>136.79210135082758</v>
      </c>
      <c r="BO67" s="350">
        <v>0</v>
      </c>
      <c r="BP67" s="350">
        <v>-101.61956399751671</v>
      </c>
      <c r="BQ67" s="349">
        <v>0</v>
      </c>
      <c r="BR67" s="349">
        <v>-178.03968547231352</v>
      </c>
      <c r="BS67" s="350">
        <v>0</v>
      </c>
      <c r="BT67" s="350">
        <v>44.007213470072429</v>
      </c>
      <c r="BU67" s="349">
        <v>0</v>
      </c>
      <c r="BV67" s="349">
        <v>-173.58417526124299</v>
      </c>
      <c r="BW67" s="350">
        <v>0</v>
      </c>
      <c r="BX67" s="350">
        <v>-34.102936727837005</v>
      </c>
      <c r="BY67" s="349">
        <v>0</v>
      </c>
      <c r="BZ67" s="349">
        <v>-76.432479431758566</v>
      </c>
      <c r="CA67" s="350">
        <v>0</v>
      </c>
      <c r="CB67" s="350">
        <v>90.040340940666283</v>
      </c>
      <c r="CC67" s="349">
        <v>0</v>
      </c>
      <c r="CD67" s="349">
        <v>-102.01481287249044</v>
      </c>
      <c r="CE67" s="350">
        <v>0</v>
      </c>
      <c r="CF67" s="350">
        <v>-72.326816035864795</v>
      </c>
      <c r="CG67" s="349">
        <v>0</v>
      </c>
      <c r="CH67" s="349">
        <v>198.60695998237861</v>
      </c>
      <c r="CI67" s="350">
        <v>0</v>
      </c>
      <c r="CJ67" s="350">
        <v>26.142862105050426</v>
      </c>
      <c r="CK67" s="349">
        <v>0</v>
      </c>
      <c r="CL67" s="349">
        <v>-83.851064099291307</v>
      </c>
      <c r="CM67" s="350">
        <v>0</v>
      </c>
      <c r="CN67" s="350">
        <v>-31.751992203950522</v>
      </c>
      <c r="CO67" s="349">
        <v>0</v>
      </c>
      <c r="CP67" s="349">
        <v>226.62469776386956</v>
      </c>
      <c r="CQ67" s="350">
        <v>0</v>
      </c>
      <c r="CR67" s="350">
        <v>-202.12068142857834</v>
      </c>
      <c r="CS67" s="349">
        <v>0</v>
      </c>
      <c r="CT67" s="349">
        <v>-10.710330428356883</v>
      </c>
      <c r="CU67" s="350">
        <v>0</v>
      </c>
      <c r="CV67" s="350">
        <v>155.9769040124695</v>
      </c>
      <c r="CW67" s="349">
        <v>0</v>
      </c>
      <c r="CX67" s="349">
        <v>360.20321895760708</v>
      </c>
      <c r="CY67" s="350">
        <v>0</v>
      </c>
      <c r="CZ67" s="350">
        <v>80.127922215912804</v>
      </c>
      <c r="DA67" s="349">
        <v>0</v>
      </c>
      <c r="DB67" s="349">
        <v>204.19491714778837</v>
      </c>
      <c r="DC67" s="350">
        <v>0</v>
      </c>
      <c r="DD67" s="350">
        <v>1.0470258297632427</v>
      </c>
      <c r="DE67" s="349">
        <v>0</v>
      </c>
      <c r="DF67" s="349">
        <v>-216.75355983939653</v>
      </c>
      <c r="DG67" s="350">
        <v>0</v>
      </c>
      <c r="DH67" s="350">
        <v>365.93289157955905</v>
      </c>
      <c r="DI67" s="349">
        <v>0</v>
      </c>
      <c r="DJ67" s="349">
        <v>180.13008702072557</v>
      </c>
      <c r="DK67" s="350">
        <v>0</v>
      </c>
      <c r="DL67" s="350">
        <v>-481.89951173769032</v>
      </c>
      <c r="DM67" s="349">
        <v>0</v>
      </c>
      <c r="DN67" s="349">
        <v>-7.2135573268376447</v>
      </c>
      <c r="DO67" s="350">
        <v>0</v>
      </c>
      <c r="DP67" s="350">
        <v>-16.006283433091994</v>
      </c>
    </row>
    <row r="68" spans="1:120" ht="15" customHeight="1" x14ac:dyDescent="0.2">
      <c r="A68" s="284"/>
      <c r="F68" s="347" t="s">
        <v>544</v>
      </c>
      <c r="I68" s="349">
        <v>0</v>
      </c>
      <c r="J68" s="349">
        <v>0</v>
      </c>
      <c r="K68" s="350">
        <v>0</v>
      </c>
      <c r="L68" s="350">
        <v>0</v>
      </c>
      <c r="M68" s="349">
        <v>0</v>
      </c>
      <c r="N68" s="349">
        <v>0</v>
      </c>
      <c r="O68" s="350">
        <v>0</v>
      </c>
      <c r="P68" s="350">
        <v>0</v>
      </c>
      <c r="Q68" s="349">
        <v>0</v>
      </c>
      <c r="R68" s="349">
        <v>0</v>
      </c>
      <c r="S68" s="350">
        <v>0</v>
      </c>
      <c r="T68" s="350">
        <v>0</v>
      </c>
      <c r="U68" s="349">
        <v>0</v>
      </c>
      <c r="V68" s="349">
        <v>0</v>
      </c>
      <c r="W68" s="350">
        <v>0</v>
      </c>
      <c r="X68" s="350">
        <v>0</v>
      </c>
      <c r="Y68" s="349">
        <v>0</v>
      </c>
      <c r="Z68" s="349">
        <v>0</v>
      </c>
      <c r="AA68" s="350">
        <v>0</v>
      </c>
      <c r="AB68" s="350">
        <v>0</v>
      </c>
      <c r="AC68" s="349">
        <v>0</v>
      </c>
      <c r="AD68" s="349">
        <v>0</v>
      </c>
      <c r="AE68" s="350">
        <v>0</v>
      </c>
      <c r="AF68" s="350">
        <v>0</v>
      </c>
      <c r="AG68" s="349">
        <v>0</v>
      </c>
      <c r="AH68" s="349">
        <v>0</v>
      </c>
      <c r="AI68" s="350">
        <v>0</v>
      </c>
      <c r="AJ68" s="350">
        <v>0</v>
      </c>
      <c r="AK68" s="349">
        <v>0</v>
      </c>
      <c r="AL68" s="349">
        <v>0</v>
      </c>
      <c r="AM68" s="350">
        <v>0</v>
      </c>
      <c r="AN68" s="350">
        <v>0</v>
      </c>
      <c r="AO68" s="349">
        <v>0</v>
      </c>
      <c r="AP68" s="349">
        <v>0</v>
      </c>
      <c r="AQ68" s="350">
        <v>0</v>
      </c>
      <c r="AR68" s="350">
        <v>0</v>
      </c>
      <c r="AS68" s="349">
        <v>0</v>
      </c>
      <c r="AT68" s="349">
        <v>0</v>
      </c>
      <c r="AU68" s="350">
        <v>0</v>
      </c>
      <c r="AV68" s="350">
        <v>0</v>
      </c>
      <c r="AW68" s="351">
        <v>0</v>
      </c>
      <c r="AX68" s="351">
        <v>0</v>
      </c>
      <c r="AY68" s="350">
        <v>0</v>
      </c>
      <c r="AZ68" s="350">
        <v>0</v>
      </c>
      <c r="BA68" s="349">
        <v>0</v>
      </c>
      <c r="BB68" s="349">
        <v>0</v>
      </c>
      <c r="BC68" s="350">
        <v>0</v>
      </c>
      <c r="BD68" s="350">
        <v>0</v>
      </c>
      <c r="BE68" s="349">
        <v>0</v>
      </c>
      <c r="BF68" s="349">
        <v>0</v>
      </c>
      <c r="BG68" s="350">
        <v>0</v>
      </c>
      <c r="BH68" s="350">
        <v>0</v>
      </c>
      <c r="BI68" s="349">
        <v>0</v>
      </c>
      <c r="BJ68" s="349">
        <v>0</v>
      </c>
      <c r="BK68" s="350">
        <v>0</v>
      </c>
      <c r="BL68" s="350">
        <v>0</v>
      </c>
      <c r="BM68" s="349">
        <v>0</v>
      </c>
      <c r="BN68" s="349">
        <v>0</v>
      </c>
      <c r="BO68" s="350">
        <v>0</v>
      </c>
      <c r="BP68" s="350">
        <v>0</v>
      </c>
      <c r="BQ68" s="349">
        <v>0</v>
      </c>
      <c r="BR68" s="349">
        <v>0</v>
      </c>
      <c r="BS68" s="350">
        <v>0</v>
      </c>
      <c r="BT68" s="350">
        <v>0</v>
      </c>
      <c r="BU68" s="349">
        <v>0</v>
      </c>
      <c r="BV68" s="349">
        <v>0</v>
      </c>
      <c r="BW68" s="350">
        <v>0</v>
      </c>
      <c r="BX68" s="350">
        <v>0</v>
      </c>
      <c r="BY68" s="349">
        <v>0</v>
      </c>
      <c r="BZ68" s="349">
        <v>0</v>
      </c>
      <c r="CA68" s="350">
        <v>0</v>
      </c>
      <c r="CB68" s="350">
        <v>0</v>
      </c>
      <c r="CC68" s="349">
        <v>0</v>
      </c>
      <c r="CD68" s="349">
        <v>0</v>
      </c>
      <c r="CE68" s="350">
        <v>0</v>
      </c>
      <c r="CF68" s="350">
        <v>0</v>
      </c>
      <c r="CG68" s="349">
        <v>0</v>
      </c>
      <c r="CH68" s="349">
        <v>0</v>
      </c>
      <c r="CI68" s="350">
        <v>0</v>
      </c>
      <c r="CJ68" s="350">
        <v>0</v>
      </c>
      <c r="CK68" s="349">
        <v>0</v>
      </c>
      <c r="CL68" s="349">
        <v>0</v>
      </c>
      <c r="CM68" s="350">
        <v>0</v>
      </c>
      <c r="CN68" s="350">
        <v>0</v>
      </c>
      <c r="CO68" s="349">
        <v>0</v>
      </c>
      <c r="CP68" s="349">
        <v>0</v>
      </c>
      <c r="CQ68" s="350">
        <v>0</v>
      </c>
      <c r="CR68" s="350">
        <v>0</v>
      </c>
      <c r="CS68" s="349">
        <v>0</v>
      </c>
      <c r="CT68" s="349">
        <v>0</v>
      </c>
      <c r="CU68" s="350">
        <v>0</v>
      </c>
      <c r="CV68" s="350">
        <v>0</v>
      </c>
      <c r="CW68" s="349">
        <v>0</v>
      </c>
      <c r="CX68" s="349">
        <v>0</v>
      </c>
      <c r="CY68" s="350">
        <v>0</v>
      </c>
      <c r="CZ68" s="350">
        <v>0</v>
      </c>
      <c r="DA68" s="349">
        <v>0</v>
      </c>
      <c r="DB68" s="349">
        <v>0</v>
      </c>
      <c r="DC68" s="350">
        <v>0</v>
      </c>
      <c r="DD68" s="350">
        <v>0</v>
      </c>
      <c r="DE68" s="349">
        <v>0</v>
      </c>
      <c r="DF68" s="349">
        <v>0</v>
      </c>
      <c r="DG68" s="350">
        <v>0</v>
      </c>
      <c r="DH68" s="350">
        <v>0</v>
      </c>
      <c r="DI68" s="349">
        <v>0</v>
      </c>
      <c r="DJ68" s="349">
        <v>0</v>
      </c>
      <c r="DK68" s="350">
        <v>0</v>
      </c>
      <c r="DL68" s="350">
        <v>0</v>
      </c>
      <c r="DM68" s="349">
        <v>0</v>
      </c>
      <c r="DN68" s="349">
        <v>0</v>
      </c>
      <c r="DO68" s="350">
        <v>0</v>
      </c>
      <c r="DP68" s="350">
        <v>0</v>
      </c>
    </row>
    <row r="69" spans="1:120" ht="15" customHeight="1" x14ac:dyDescent="0.2">
      <c r="A69" s="284"/>
      <c r="F69" s="347" t="s">
        <v>618</v>
      </c>
      <c r="I69" s="349">
        <v>0</v>
      </c>
      <c r="J69" s="349">
        <v>0</v>
      </c>
      <c r="K69" s="350">
        <v>0</v>
      </c>
      <c r="L69" s="350">
        <v>0</v>
      </c>
      <c r="M69" s="349">
        <v>0</v>
      </c>
      <c r="N69" s="349">
        <v>0</v>
      </c>
      <c r="O69" s="350">
        <v>0</v>
      </c>
      <c r="P69" s="350">
        <v>0</v>
      </c>
      <c r="Q69" s="349">
        <v>0</v>
      </c>
      <c r="R69" s="349">
        <v>0</v>
      </c>
      <c r="S69" s="350">
        <v>0</v>
      </c>
      <c r="T69" s="350">
        <v>0</v>
      </c>
      <c r="U69" s="349">
        <v>0</v>
      </c>
      <c r="V69" s="349">
        <v>0</v>
      </c>
      <c r="W69" s="350">
        <v>0</v>
      </c>
      <c r="X69" s="350">
        <v>0</v>
      </c>
      <c r="Y69" s="349">
        <v>0</v>
      </c>
      <c r="Z69" s="349">
        <v>0</v>
      </c>
      <c r="AA69" s="350">
        <v>0</v>
      </c>
      <c r="AB69" s="350">
        <v>0</v>
      </c>
      <c r="AC69" s="349">
        <v>0</v>
      </c>
      <c r="AD69" s="349">
        <v>0</v>
      </c>
      <c r="AE69" s="350">
        <v>0</v>
      </c>
      <c r="AF69" s="350">
        <v>0</v>
      </c>
      <c r="AG69" s="349">
        <v>0</v>
      </c>
      <c r="AH69" s="349">
        <v>0</v>
      </c>
      <c r="AI69" s="350">
        <v>0</v>
      </c>
      <c r="AJ69" s="350">
        <v>0</v>
      </c>
      <c r="AK69" s="349">
        <v>0</v>
      </c>
      <c r="AL69" s="349">
        <v>0</v>
      </c>
      <c r="AM69" s="350">
        <v>0</v>
      </c>
      <c r="AN69" s="350">
        <v>0</v>
      </c>
      <c r="AO69" s="349">
        <v>0</v>
      </c>
      <c r="AP69" s="349">
        <v>0</v>
      </c>
      <c r="AQ69" s="350">
        <v>0</v>
      </c>
      <c r="AR69" s="350">
        <v>0</v>
      </c>
      <c r="AS69" s="349">
        <v>0</v>
      </c>
      <c r="AT69" s="349">
        <v>0</v>
      </c>
      <c r="AU69" s="350">
        <v>0</v>
      </c>
      <c r="AV69" s="350">
        <v>0</v>
      </c>
      <c r="AW69" s="351">
        <v>0</v>
      </c>
      <c r="AX69" s="351">
        <v>0</v>
      </c>
      <c r="AY69" s="350">
        <v>0</v>
      </c>
      <c r="AZ69" s="350">
        <v>0</v>
      </c>
      <c r="BA69" s="349">
        <v>0</v>
      </c>
      <c r="BB69" s="349">
        <v>0</v>
      </c>
      <c r="BC69" s="350">
        <v>0</v>
      </c>
      <c r="BD69" s="350">
        <v>0</v>
      </c>
      <c r="BE69" s="349">
        <v>0</v>
      </c>
      <c r="BF69" s="349">
        <v>0</v>
      </c>
      <c r="BG69" s="350">
        <v>0</v>
      </c>
      <c r="BH69" s="350">
        <v>0</v>
      </c>
      <c r="BI69" s="349">
        <v>0</v>
      </c>
      <c r="BJ69" s="349">
        <v>0</v>
      </c>
      <c r="BK69" s="350">
        <v>0</v>
      </c>
      <c r="BL69" s="350">
        <v>0</v>
      </c>
      <c r="BM69" s="349">
        <v>0</v>
      </c>
      <c r="BN69" s="349">
        <v>0</v>
      </c>
      <c r="BO69" s="350">
        <v>0</v>
      </c>
      <c r="BP69" s="350">
        <v>0</v>
      </c>
      <c r="BQ69" s="349">
        <v>0</v>
      </c>
      <c r="BR69" s="349">
        <v>0</v>
      </c>
      <c r="BS69" s="350">
        <v>0</v>
      </c>
      <c r="BT69" s="350">
        <v>0</v>
      </c>
      <c r="BU69" s="349">
        <v>0</v>
      </c>
      <c r="BV69" s="349">
        <v>0</v>
      </c>
      <c r="BW69" s="350">
        <v>0</v>
      </c>
      <c r="BX69" s="350">
        <v>0</v>
      </c>
      <c r="BY69" s="349">
        <v>0</v>
      </c>
      <c r="BZ69" s="349">
        <v>0</v>
      </c>
      <c r="CA69" s="350">
        <v>0</v>
      </c>
      <c r="CB69" s="350">
        <v>0</v>
      </c>
      <c r="CC69" s="349">
        <v>0</v>
      </c>
      <c r="CD69" s="349">
        <v>0</v>
      </c>
      <c r="CE69" s="350">
        <v>0</v>
      </c>
      <c r="CF69" s="350">
        <v>0</v>
      </c>
      <c r="CG69" s="349">
        <v>0</v>
      </c>
      <c r="CH69" s="349">
        <v>0</v>
      </c>
      <c r="CI69" s="350">
        <v>0</v>
      </c>
      <c r="CJ69" s="350">
        <v>0</v>
      </c>
      <c r="CK69" s="349">
        <v>0</v>
      </c>
      <c r="CL69" s="349">
        <v>0</v>
      </c>
      <c r="CM69" s="350">
        <v>0</v>
      </c>
      <c r="CN69" s="350">
        <v>0</v>
      </c>
      <c r="CO69" s="349">
        <v>0</v>
      </c>
      <c r="CP69" s="349">
        <v>0</v>
      </c>
      <c r="CQ69" s="350">
        <v>0</v>
      </c>
      <c r="CR69" s="350">
        <v>0</v>
      </c>
      <c r="CS69" s="349">
        <v>0</v>
      </c>
      <c r="CT69" s="349">
        <v>0</v>
      </c>
      <c r="CU69" s="350">
        <v>0</v>
      </c>
      <c r="CV69" s="350">
        <v>0</v>
      </c>
      <c r="CW69" s="349">
        <v>0</v>
      </c>
      <c r="CX69" s="349">
        <v>0</v>
      </c>
      <c r="CY69" s="350">
        <v>0</v>
      </c>
      <c r="CZ69" s="350">
        <v>0</v>
      </c>
      <c r="DA69" s="349">
        <v>0</v>
      </c>
      <c r="DB69" s="349">
        <v>0</v>
      </c>
      <c r="DC69" s="350">
        <v>0</v>
      </c>
      <c r="DD69" s="350">
        <v>0</v>
      </c>
      <c r="DE69" s="349">
        <v>0</v>
      </c>
      <c r="DF69" s="349">
        <v>0</v>
      </c>
      <c r="DG69" s="350">
        <v>0</v>
      </c>
      <c r="DH69" s="350">
        <v>0</v>
      </c>
      <c r="DI69" s="349">
        <v>0</v>
      </c>
      <c r="DJ69" s="349">
        <v>0</v>
      </c>
      <c r="DK69" s="350">
        <v>0</v>
      </c>
      <c r="DL69" s="350">
        <v>0</v>
      </c>
      <c r="DM69" s="349">
        <v>0</v>
      </c>
      <c r="DN69" s="349">
        <v>0</v>
      </c>
      <c r="DO69" s="350">
        <v>0</v>
      </c>
      <c r="DP69" s="350">
        <v>0</v>
      </c>
    </row>
    <row r="70" spans="1:120" s="338" customFormat="1" ht="15" customHeight="1" x14ac:dyDescent="0.2">
      <c r="A70" s="272"/>
      <c r="E70" s="338" t="s">
        <v>619</v>
      </c>
      <c r="H70" s="339"/>
      <c r="I70" s="344">
        <v>859.59923716393087</v>
      </c>
      <c r="J70" s="344">
        <v>0</v>
      </c>
      <c r="K70" s="345">
        <v>999.47608006905182</v>
      </c>
      <c r="L70" s="345">
        <v>0</v>
      </c>
      <c r="M70" s="344">
        <v>745.11755795449994</v>
      </c>
      <c r="N70" s="344">
        <v>0</v>
      </c>
      <c r="O70" s="345">
        <v>466.23649387937803</v>
      </c>
      <c r="P70" s="345">
        <v>0</v>
      </c>
      <c r="Q70" s="344">
        <v>790.40554512520066</v>
      </c>
      <c r="R70" s="344">
        <v>0</v>
      </c>
      <c r="S70" s="345">
        <v>21.216336826838074</v>
      </c>
      <c r="T70" s="345">
        <v>0</v>
      </c>
      <c r="U70" s="344">
        <v>225.66709263211376</v>
      </c>
      <c r="V70" s="344">
        <v>0</v>
      </c>
      <c r="W70" s="345">
        <v>80.804674320188639</v>
      </c>
      <c r="X70" s="345">
        <v>0</v>
      </c>
      <c r="Y70" s="344">
        <v>261.60851099850436</v>
      </c>
      <c r="Z70" s="344">
        <v>0</v>
      </c>
      <c r="AA70" s="345">
        <v>416.01215216879962</v>
      </c>
      <c r="AB70" s="345">
        <v>0</v>
      </c>
      <c r="AC70" s="344">
        <v>375.48039766338707</v>
      </c>
      <c r="AD70" s="344">
        <v>0</v>
      </c>
      <c r="AE70" s="345">
        <v>659.76324264977836</v>
      </c>
      <c r="AF70" s="345">
        <v>0</v>
      </c>
      <c r="AG70" s="344">
        <v>501.03060545898893</v>
      </c>
      <c r="AH70" s="344">
        <v>0</v>
      </c>
      <c r="AI70" s="345">
        <v>-91.959357112800802</v>
      </c>
      <c r="AJ70" s="345">
        <v>0</v>
      </c>
      <c r="AK70" s="344">
        <v>-87.495807164558784</v>
      </c>
      <c r="AL70" s="344">
        <v>0</v>
      </c>
      <c r="AM70" s="345">
        <v>437.59862858428727</v>
      </c>
      <c r="AN70" s="345">
        <v>0</v>
      </c>
      <c r="AO70" s="344">
        <v>718.08462934107411</v>
      </c>
      <c r="AP70" s="344">
        <v>0</v>
      </c>
      <c r="AQ70" s="345">
        <v>49.119405513383271</v>
      </c>
      <c r="AR70" s="345">
        <v>0</v>
      </c>
      <c r="AS70" s="344">
        <v>76.849872331948902</v>
      </c>
      <c r="AT70" s="344">
        <v>0</v>
      </c>
      <c r="AU70" s="345">
        <v>-50.814487684772416</v>
      </c>
      <c r="AV70" s="345">
        <v>0</v>
      </c>
      <c r="AW70" s="346">
        <v>364.89553107177142</v>
      </c>
      <c r="AX70" s="346">
        <v>0</v>
      </c>
      <c r="AY70" s="345">
        <v>789.18116947968713</v>
      </c>
      <c r="AZ70" s="345">
        <v>0</v>
      </c>
      <c r="BA70" s="344">
        <v>401.12958942268705</v>
      </c>
      <c r="BB70" s="344">
        <v>0</v>
      </c>
      <c r="BC70" s="345">
        <v>333.51477691129969</v>
      </c>
      <c r="BD70" s="345">
        <v>0</v>
      </c>
      <c r="BE70" s="344">
        <v>-228.10650071909384</v>
      </c>
      <c r="BF70" s="344">
        <v>0</v>
      </c>
      <c r="BG70" s="345">
        <v>29.890320124392261</v>
      </c>
      <c r="BH70" s="345">
        <v>0</v>
      </c>
      <c r="BI70" s="344">
        <v>426.57750687687241</v>
      </c>
      <c r="BJ70" s="344">
        <v>0</v>
      </c>
      <c r="BK70" s="345">
        <v>1391.4902491840255</v>
      </c>
      <c r="BL70" s="345">
        <v>0</v>
      </c>
      <c r="BM70" s="344">
        <v>-415.82161975380313</v>
      </c>
      <c r="BN70" s="344">
        <v>0</v>
      </c>
      <c r="BO70" s="345">
        <v>-216.56329844829401</v>
      </c>
      <c r="BP70" s="345">
        <v>0</v>
      </c>
      <c r="BQ70" s="344">
        <v>187.86609283008914</v>
      </c>
      <c r="BR70" s="344">
        <v>0</v>
      </c>
      <c r="BS70" s="345">
        <v>199.17492223330515</v>
      </c>
      <c r="BT70" s="345">
        <v>0</v>
      </c>
      <c r="BU70" s="344">
        <v>1128.3261914109373</v>
      </c>
      <c r="BV70" s="344">
        <v>0</v>
      </c>
      <c r="BW70" s="345">
        <v>-469.60480746826317</v>
      </c>
      <c r="BX70" s="345">
        <v>0</v>
      </c>
      <c r="BY70" s="344">
        <v>-286.91157532086487</v>
      </c>
      <c r="BZ70" s="344">
        <v>0</v>
      </c>
      <c r="CA70" s="345">
        <v>-197.69088825628478</v>
      </c>
      <c r="CB70" s="345">
        <v>0</v>
      </c>
      <c r="CC70" s="344">
        <v>-732.98240101487795</v>
      </c>
      <c r="CD70" s="344">
        <v>0</v>
      </c>
      <c r="CE70" s="345">
        <v>700.17860370239509</v>
      </c>
      <c r="CF70" s="345">
        <v>0</v>
      </c>
      <c r="CG70" s="344">
        <v>-391.31037887447206</v>
      </c>
      <c r="CH70" s="344">
        <v>0</v>
      </c>
      <c r="CI70" s="345">
        <v>-1078.7865016055191</v>
      </c>
      <c r="CJ70" s="345">
        <v>0</v>
      </c>
      <c r="CK70" s="344">
        <v>-192.76977255538787</v>
      </c>
      <c r="CL70" s="344">
        <v>0</v>
      </c>
      <c r="CM70" s="345">
        <v>316.32697737650574</v>
      </c>
      <c r="CN70" s="345">
        <v>0</v>
      </c>
      <c r="CO70" s="344">
        <v>70.163149433782394</v>
      </c>
      <c r="CP70" s="344">
        <v>0</v>
      </c>
      <c r="CQ70" s="345">
        <v>191.22733044728685</v>
      </c>
      <c r="CR70" s="345">
        <v>0</v>
      </c>
      <c r="CS70" s="344">
        <v>334.36396817804513</v>
      </c>
      <c r="CT70" s="344">
        <v>0</v>
      </c>
      <c r="CU70" s="345">
        <v>54.527385224982339</v>
      </c>
      <c r="CV70" s="345">
        <v>0</v>
      </c>
      <c r="CW70" s="344">
        <v>-80.829917352544101</v>
      </c>
      <c r="CX70" s="344">
        <v>0</v>
      </c>
      <c r="CY70" s="345">
        <v>443.33134898652645</v>
      </c>
      <c r="CZ70" s="345">
        <v>0</v>
      </c>
      <c r="DA70" s="344">
        <v>-31.912903660697339</v>
      </c>
      <c r="DB70" s="344">
        <v>0</v>
      </c>
      <c r="DC70" s="345">
        <v>252.3328201292133</v>
      </c>
      <c r="DD70" s="345">
        <v>0</v>
      </c>
      <c r="DE70" s="344">
        <v>51.878692842351484</v>
      </c>
      <c r="DF70" s="344">
        <v>0</v>
      </c>
      <c r="DG70" s="345">
        <v>709.02188088286823</v>
      </c>
      <c r="DH70" s="345">
        <v>0</v>
      </c>
      <c r="DI70" s="344">
        <v>207.10280962888805</v>
      </c>
      <c r="DJ70" s="344">
        <v>0</v>
      </c>
      <c r="DK70" s="345">
        <v>-483.10666893377606</v>
      </c>
      <c r="DL70" s="345">
        <v>0</v>
      </c>
      <c r="DM70" s="344">
        <v>14.815387464780571</v>
      </c>
      <c r="DN70" s="344">
        <v>0</v>
      </c>
      <c r="DO70" s="345">
        <v>707.64187325664898</v>
      </c>
      <c r="DP70" s="345">
        <v>0</v>
      </c>
    </row>
    <row r="71" spans="1:120" ht="15" customHeight="1" x14ac:dyDescent="0.2">
      <c r="F71" s="347" t="s">
        <v>620</v>
      </c>
      <c r="I71" s="349">
        <v>0</v>
      </c>
      <c r="J71" s="349">
        <v>0</v>
      </c>
      <c r="K71" s="350">
        <v>415.82946805</v>
      </c>
      <c r="L71" s="350">
        <v>0</v>
      </c>
      <c r="M71" s="349">
        <v>413.01411400000001</v>
      </c>
      <c r="N71" s="349">
        <v>0</v>
      </c>
      <c r="O71" s="350">
        <v>-48.347605104999992</v>
      </c>
      <c r="P71" s="350">
        <v>0</v>
      </c>
      <c r="Q71" s="349">
        <v>-79.297612874999999</v>
      </c>
      <c r="R71" s="349">
        <v>0</v>
      </c>
      <c r="S71" s="350">
        <v>-85.998817549999998</v>
      </c>
      <c r="T71" s="350">
        <v>0</v>
      </c>
      <c r="U71" s="349">
        <v>-129.28947199999999</v>
      </c>
      <c r="V71" s="349">
        <v>0</v>
      </c>
      <c r="W71" s="350">
        <v>-158.22755812499872</v>
      </c>
      <c r="X71" s="350">
        <v>0</v>
      </c>
      <c r="Y71" s="349">
        <v>-159.4293277820187</v>
      </c>
      <c r="Z71" s="349">
        <v>0</v>
      </c>
      <c r="AA71" s="350">
        <v>-186.26163770637413</v>
      </c>
      <c r="AB71" s="350">
        <v>0</v>
      </c>
      <c r="AC71" s="349">
        <v>-209.62921759045039</v>
      </c>
      <c r="AD71" s="349">
        <v>0</v>
      </c>
      <c r="AE71" s="350">
        <v>-164.01682790142968</v>
      </c>
      <c r="AF71" s="350">
        <v>0</v>
      </c>
      <c r="AG71" s="349">
        <v>-120.36439410740601</v>
      </c>
      <c r="AH71" s="349">
        <v>0</v>
      </c>
      <c r="AI71" s="350">
        <v>-120.67523617152713</v>
      </c>
      <c r="AJ71" s="350">
        <v>0</v>
      </c>
      <c r="AK71" s="349">
        <v>-120.50745179150769</v>
      </c>
      <c r="AL71" s="349">
        <v>0</v>
      </c>
      <c r="AM71" s="350">
        <v>-144.96143478944845</v>
      </c>
      <c r="AN71" s="350">
        <v>0</v>
      </c>
      <c r="AO71" s="349">
        <v>-143.04600558024418</v>
      </c>
      <c r="AP71" s="349">
        <v>0</v>
      </c>
      <c r="AQ71" s="350">
        <v>47.411662681213841</v>
      </c>
      <c r="AR71" s="350">
        <v>0</v>
      </c>
      <c r="AS71" s="349">
        <v>-95.806914175474915</v>
      </c>
      <c r="AT71" s="349">
        <v>0</v>
      </c>
      <c r="AU71" s="350">
        <v>68.654738975140447</v>
      </c>
      <c r="AV71" s="350">
        <v>0</v>
      </c>
      <c r="AW71" s="351">
        <v>-93.095875751132098</v>
      </c>
      <c r="AX71" s="351">
        <v>0</v>
      </c>
      <c r="AY71" s="350">
        <v>-93.83711476901378</v>
      </c>
      <c r="AZ71" s="350">
        <v>0</v>
      </c>
      <c r="BA71" s="349">
        <v>119.23176516043611</v>
      </c>
      <c r="BB71" s="349">
        <v>0</v>
      </c>
      <c r="BC71" s="350">
        <v>251.5323948179514</v>
      </c>
      <c r="BD71" s="350">
        <v>0</v>
      </c>
      <c r="BE71" s="349">
        <v>0</v>
      </c>
      <c r="BF71" s="349">
        <v>0</v>
      </c>
      <c r="BG71" s="350">
        <v>251.78131619999999</v>
      </c>
      <c r="BH71" s="350">
        <v>0</v>
      </c>
      <c r="BI71" s="349">
        <v>0</v>
      </c>
      <c r="BJ71" s="349">
        <v>0</v>
      </c>
      <c r="BK71" s="350">
        <v>0</v>
      </c>
      <c r="BL71" s="350">
        <v>0</v>
      </c>
      <c r="BM71" s="349">
        <v>0</v>
      </c>
      <c r="BN71" s="349">
        <v>0</v>
      </c>
      <c r="BO71" s="350">
        <v>164.10000000000019</v>
      </c>
      <c r="BP71" s="350">
        <v>0</v>
      </c>
      <c r="BQ71" s="349">
        <v>0</v>
      </c>
      <c r="BR71" s="349">
        <v>0</v>
      </c>
      <c r="BS71" s="350">
        <v>163.30603499999998</v>
      </c>
      <c r="BT71" s="350">
        <v>0</v>
      </c>
      <c r="BU71" s="349">
        <v>0</v>
      </c>
      <c r="BV71" s="349">
        <v>0</v>
      </c>
      <c r="BW71" s="350">
        <v>0</v>
      </c>
      <c r="BX71" s="350">
        <v>0</v>
      </c>
      <c r="BY71" s="349">
        <v>0</v>
      </c>
      <c r="BZ71" s="349">
        <v>0</v>
      </c>
      <c r="CA71" s="350">
        <v>-14.334925330160001</v>
      </c>
      <c r="CB71" s="350">
        <v>0</v>
      </c>
      <c r="CC71" s="349">
        <v>0</v>
      </c>
      <c r="CD71" s="349">
        <v>0</v>
      </c>
      <c r="CE71" s="350">
        <v>-28.852688998119998</v>
      </c>
      <c r="CF71" s="350">
        <v>0</v>
      </c>
      <c r="CG71" s="349">
        <v>0</v>
      </c>
      <c r="CH71" s="349">
        <v>0</v>
      </c>
      <c r="CI71" s="350">
        <v>-27.914118864080002</v>
      </c>
      <c r="CJ71" s="350">
        <v>0</v>
      </c>
      <c r="CK71" s="349">
        <v>-14.009912700180001</v>
      </c>
      <c r="CL71" s="349">
        <v>0</v>
      </c>
      <c r="CM71" s="350">
        <v>-46.802042227199998</v>
      </c>
      <c r="CN71" s="350">
        <v>0</v>
      </c>
      <c r="CO71" s="349">
        <v>-13.189038501620001</v>
      </c>
      <c r="CP71" s="349">
        <v>0</v>
      </c>
      <c r="CQ71" s="350">
        <v>-65.735250148756975</v>
      </c>
      <c r="CR71" s="350">
        <v>0</v>
      </c>
      <c r="CS71" s="349">
        <v>-13.479681520559998</v>
      </c>
      <c r="CT71" s="349">
        <v>0</v>
      </c>
      <c r="CU71" s="350">
        <v>-66.028334965239992</v>
      </c>
      <c r="CV71" s="350">
        <v>0</v>
      </c>
      <c r="CW71" s="349">
        <v>-13.489972421539999</v>
      </c>
      <c r="CX71" s="349">
        <v>0</v>
      </c>
      <c r="CY71" s="350">
        <v>-79.064288930259991</v>
      </c>
      <c r="CZ71" s="350">
        <v>0</v>
      </c>
      <c r="DA71" s="349">
        <v>-13.300240179199999</v>
      </c>
      <c r="DB71" s="349">
        <v>0</v>
      </c>
      <c r="DC71" s="350">
        <v>-91.889346148079994</v>
      </c>
      <c r="DD71" s="350">
        <v>0</v>
      </c>
      <c r="DE71" s="349">
        <v>-13.251583200779999</v>
      </c>
      <c r="DF71" s="349">
        <v>0</v>
      </c>
      <c r="DG71" s="350">
        <v>-91.365058323340008</v>
      </c>
      <c r="DH71" s="350">
        <v>0</v>
      </c>
      <c r="DI71" s="349">
        <v>-12.967134704759999</v>
      </c>
      <c r="DJ71" s="349">
        <v>0</v>
      </c>
      <c r="DK71" s="350">
        <v>-94.145333912739986</v>
      </c>
      <c r="DL71" s="350">
        <v>0</v>
      </c>
      <c r="DM71" s="349">
        <v>-13.64503531786</v>
      </c>
      <c r="DN71" s="349">
        <v>0</v>
      </c>
      <c r="DO71" s="350">
        <v>-94.3668941416</v>
      </c>
      <c r="DP71" s="350">
        <v>0</v>
      </c>
    </row>
    <row r="72" spans="1:120" ht="15" customHeight="1" x14ac:dyDescent="0.2">
      <c r="A72" s="284"/>
      <c r="G72" s="347" t="s">
        <v>621</v>
      </c>
      <c r="I72" s="349">
        <v>0</v>
      </c>
      <c r="J72" s="349"/>
      <c r="K72" s="350">
        <v>415.82946805</v>
      </c>
      <c r="L72" s="350"/>
      <c r="M72" s="349">
        <v>413.01411400000001</v>
      </c>
      <c r="N72" s="349"/>
      <c r="O72" s="350">
        <v>-48.347605104999992</v>
      </c>
      <c r="P72" s="350"/>
      <c r="Q72" s="349">
        <v>-79.297612874999999</v>
      </c>
      <c r="R72" s="349"/>
      <c r="S72" s="350">
        <v>-85.998817549999998</v>
      </c>
      <c r="T72" s="350"/>
      <c r="U72" s="349">
        <v>-129.28947199999999</v>
      </c>
      <c r="V72" s="349"/>
      <c r="W72" s="350">
        <v>-158.22755812499872</v>
      </c>
      <c r="X72" s="350"/>
      <c r="Y72" s="349">
        <v>-159.4293277820187</v>
      </c>
      <c r="Z72" s="349"/>
      <c r="AA72" s="350">
        <v>-186.26163770637413</v>
      </c>
      <c r="AB72" s="350"/>
      <c r="AC72" s="349">
        <v>-209.62921759045039</v>
      </c>
      <c r="AD72" s="349"/>
      <c r="AE72" s="350">
        <v>-164.01682790142968</v>
      </c>
      <c r="AF72" s="350"/>
      <c r="AG72" s="349">
        <v>-120.36439410740601</v>
      </c>
      <c r="AH72" s="349"/>
      <c r="AI72" s="350">
        <v>-120.67523617152713</v>
      </c>
      <c r="AJ72" s="350"/>
      <c r="AK72" s="349">
        <v>-120.50745179150769</v>
      </c>
      <c r="AL72" s="349"/>
      <c r="AM72" s="350">
        <v>-144.96143478944845</v>
      </c>
      <c r="AN72" s="350"/>
      <c r="AO72" s="349">
        <v>-143.04600558024418</v>
      </c>
      <c r="AP72" s="349"/>
      <c r="AQ72" s="350">
        <v>47.411662681213841</v>
      </c>
      <c r="AR72" s="350"/>
      <c r="AS72" s="349">
        <v>-95.806914175474915</v>
      </c>
      <c r="AT72" s="349"/>
      <c r="AU72" s="350">
        <v>68.654738975140447</v>
      </c>
      <c r="AV72" s="350"/>
      <c r="AW72" s="351">
        <v>-93.095875751132098</v>
      </c>
      <c r="AX72" s="351"/>
      <c r="AY72" s="350">
        <v>-93.83711476901378</v>
      </c>
      <c r="AZ72" s="350"/>
      <c r="BA72" s="349">
        <v>119.23176516043611</v>
      </c>
      <c r="BB72" s="349"/>
      <c r="BC72" s="350">
        <v>251.5323948179514</v>
      </c>
      <c r="BD72" s="350"/>
      <c r="BE72" s="349">
        <v>0</v>
      </c>
      <c r="BF72" s="349"/>
      <c r="BG72" s="350">
        <v>251.78131619999999</v>
      </c>
      <c r="BH72" s="350"/>
      <c r="BI72" s="349">
        <v>0</v>
      </c>
      <c r="BJ72" s="349"/>
      <c r="BK72" s="350">
        <v>0</v>
      </c>
      <c r="BL72" s="350"/>
      <c r="BM72" s="349">
        <v>0</v>
      </c>
      <c r="BN72" s="349"/>
      <c r="BO72" s="350">
        <v>164.10000000000019</v>
      </c>
      <c r="BP72" s="350"/>
      <c r="BQ72" s="349">
        <v>0</v>
      </c>
      <c r="BR72" s="349"/>
      <c r="BS72" s="350">
        <v>163.30603499999998</v>
      </c>
      <c r="BT72" s="350"/>
      <c r="BU72" s="349">
        <v>0</v>
      </c>
      <c r="BV72" s="349"/>
      <c r="BW72" s="350">
        <v>0</v>
      </c>
      <c r="BX72" s="350"/>
      <c r="BY72" s="349">
        <v>0</v>
      </c>
      <c r="BZ72" s="349"/>
      <c r="CA72" s="350">
        <v>-14.334925330160001</v>
      </c>
      <c r="CB72" s="350"/>
      <c r="CC72" s="349">
        <v>0</v>
      </c>
      <c r="CD72" s="349"/>
      <c r="CE72" s="350">
        <v>-28.852688998119998</v>
      </c>
      <c r="CF72" s="350"/>
      <c r="CG72" s="349">
        <v>0</v>
      </c>
      <c r="CH72" s="349"/>
      <c r="CI72" s="350">
        <v>-27.914118864080002</v>
      </c>
      <c r="CJ72" s="350"/>
      <c r="CK72" s="349">
        <v>-14.009912700180001</v>
      </c>
      <c r="CL72" s="349"/>
      <c r="CM72" s="350">
        <v>-46.802042227199998</v>
      </c>
      <c r="CN72" s="350"/>
      <c r="CO72" s="349">
        <v>-13.189038501620001</v>
      </c>
      <c r="CP72" s="349"/>
      <c r="CQ72" s="350">
        <v>-65.735250148756975</v>
      </c>
      <c r="CR72" s="350"/>
      <c r="CS72" s="349">
        <v>-13.479681520559998</v>
      </c>
      <c r="CT72" s="349"/>
      <c r="CU72" s="350">
        <v>-66.028334965239992</v>
      </c>
      <c r="CV72" s="350"/>
      <c r="CW72" s="349">
        <v>-13.489972421539999</v>
      </c>
      <c r="CX72" s="349"/>
      <c r="CY72" s="350">
        <v>-79.064288930259991</v>
      </c>
      <c r="CZ72" s="350"/>
      <c r="DA72" s="349">
        <v>-13.300240179199999</v>
      </c>
      <c r="DB72" s="349"/>
      <c r="DC72" s="350">
        <v>-91.889346148079994</v>
      </c>
      <c r="DD72" s="350"/>
      <c r="DE72" s="349">
        <v>-13.251583200779999</v>
      </c>
      <c r="DF72" s="349"/>
      <c r="DG72" s="350">
        <v>-91.365058323340008</v>
      </c>
      <c r="DH72" s="350"/>
      <c r="DI72" s="349">
        <v>-12.967134704759999</v>
      </c>
      <c r="DJ72" s="349"/>
      <c r="DK72" s="350">
        <v>-94.145333912739986</v>
      </c>
      <c r="DL72" s="350"/>
      <c r="DM72" s="349">
        <v>-13.64503531786</v>
      </c>
      <c r="DN72" s="349"/>
      <c r="DO72" s="350">
        <v>-94.3668941416</v>
      </c>
      <c r="DP72" s="350"/>
    </row>
    <row r="73" spans="1:120" ht="15" customHeight="1" x14ac:dyDescent="0.2">
      <c r="G73" s="347" t="s">
        <v>622</v>
      </c>
      <c r="I73" s="349">
        <v>0</v>
      </c>
      <c r="J73" s="349"/>
      <c r="K73" s="350">
        <v>0</v>
      </c>
      <c r="L73" s="350"/>
      <c r="M73" s="349">
        <v>0</v>
      </c>
      <c r="N73" s="349"/>
      <c r="O73" s="350">
        <v>0</v>
      </c>
      <c r="P73" s="350"/>
      <c r="Q73" s="349">
        <v>0</v>
      </c>
      <c r="R73" s="349"/>
      <c r="S73" s="350">
        <v>0</v>
      </c>
      <c r="T73" s="350"/>
      <c r="U73" s="349">
        <v>0</v>
      </c>
      <c r="V73" s="349"/>
      <c r="W73" s="350">
        <v>0</v>
      </c>
      <c r="X73" s="350"/>
      <c r="Y73" s="349">
        <v>0</v>
      </c>
      <c r="Z73" s="349"/>
      <c r="AA73" s="350">
        <v>0</v>
      </c>
      <c r="AB73" s="350"/>
      <c r="AC73" s="349">
        <v>0</v>
      </c>
      <c r="AD73" s="349"/>
      <c r="AE73" s="350">
        <v>0</v>
      </c>
      <c r="AF73" s="350"/>
      <c r="AG73" s="349">
        <v>0</v>
      </c>
      <c r="AH73" s="349"/>
      <c r="AI73" s="350">
        <v>0</v>
      </c>
      <c r="AJ73" s="350"/>
      <c r="AK73" s="349">
        <v>0</v>
      </c>
      <c r="AL73" s="349"/>
      <c r="AM73" s="350">
        <v>0</v>
      </c>
      <c r="AN73" s="350"/>
      <c r="AO73" s="349">
        <v>0</v>
      </c>
      <c r="AP73" s="349"/>
      <c r="AQ73" s="350">
        <v>0</v>
      </c>
      <c r="AR73" s="350"/>
      <c r="AS73" s="349">
        <v>0</v>
      </c>
      <c r="AT73" s="349"/>
      <c r="AU73" s="350">
        <v>0</v>
      </c>
      <c r="AV73" s="350"/>
      <c r="AW73" s="351">
        <v>0</v>
      </c>
      <c r="AX73" s="351"/>
      <c r="AY73" s="350">
        <v>0</v>
      </c>
      <c r="AZ73" s="350"/>
      <c r="BA73" s="349">
        <v>0</v>
      </c>
      <c r="BB73" s="349"/>
      <c r="BC73" s="350">
        <v>0</v>
      </c>
      <c r="BD73" s="350"/>
      <c r="BE73" s="349">
        <v>0</v>
      </c>
      <c r="BF73" s="349"/>
      <c r="BG73" s="350">
        <v>0</v>
      </c>
      <c r="BH73" s="350"/>
      <c r="BI73" s="349">
        <v>0</v>
      </c>
      <c r="BJ73" s="349"/>
      <c r="BK73" s="350">
        <v>0</v>
      </c>
      <c r="BL73" s="350"/>
      <c r="BM73" s="349">
        <v>0</v>
      </c>
      <c r="BN73" s="349"/>
      <c r="BO73" s="350">
        <v>0</v>
      </c>
      <c r="BP73" s="350"/>
      <c r="BQ73" s="349">
        <v>0</v>
      </c>
      <c r="BR73" s="349"/>
      <c r="BS73" s="350">
        <v>0</v>
      </c>
      <c r="BT73" s="350"/>
      <c r="BU73" s="349">
        <v>0</v>
      </c>
      <c r="BV73" s="349"/>
      <c r="BW73" s="350">
        <v>0</v>
      </c>
      <c r="BX73" s="350"/>
      <c r="BY73" s="349">
        <v>0</v>
      </c>
      <c r="BZ73" s="349"/>
      <c r="CA73" s="350">
        <v>0</v>
      </c>
      <c r="CB73" s="350"/>
      <c r="CC73" s="349">
        <v>0</v>
      </c>
      <c r="CD73" s="349"/>
      <c r="CE73" s="350">
        <v>0</v>
      </c>
      <c r="CF73" s="350"/>
      <c r="CG73" s="349">
        <v>0</v>
      </c>
      <c r="CH73" s="349"/>
      <c r="CI73" s="350">
        <v>0</v>
      </c>
      <c r="CJ73" s="350"/>
      <c r="CK73" s="349">
        <v>0</v>
      </c>
      <c r="CL73" s="349"/>
      <c r="CM73" s="350">
        <v>0</v>
      </c>
      <c r="CN73" s="350"/>
      <c r="CO73" s="349">
        <v>0</v>
      </c>
      <c r="CP73" s="349"/>
      <c r="CQ73" s="350">
        <v>0</v>
      </c>
      <c r="CR73" s="350"/>
      <c r="CS73" s="349">
        <v>0</v>
      </c>
      <c r="CT73" s="349"/>
      <c r="CU73" s="350">
        <v>0</v>
      </c>
      <c r="CV73" s="350"/>
      <c r="CW73" s="349">
        <v>0</v>
      </c>
      <c r="CX73" s="349"/>
      <c r="CY73" s="350">
        <v>0</v>
      </c>
      <c r="CZ73" s="350"/>
      <c r="DA73" s="349">
        <v>0</v>
      </c>
      <c r="DB73" s="349"/>
      <c r="DC73" s="350">
        <v>0</v>
      </c>
      <c r="DD73" s="350"/>
      <c r="DE73" s="349">
        <v>0</v>
      </c>
      <c r="DF73" s="349"/>
      <c r="DG73" s="350">
        <v>0</v>
      </c>
      <c r="DH73" s="350"/>
      <c r="DI73" s="349">
        <v>0</v>
      </c>
      <c r="DJ73" s="349"/>
      <c r="DK73" s="350">
        <v>0</v>
      </c>
      <c r="DL73" s="350"/>
      <c r="DM73" s="349">
        <v>0</v>
      </c>
      <c r="DN73" s="349"/>
      <c r="DO73" s="350">
        <v>0</v>
      </c>
      <c r="DP73" s="350"/>
    </row>
    <row r="74" spans="1:120" ht="15" customHeight="1" x14ac:dyDescent="0.2">
      <c r="G74" s="347" t="s">
        <v>623</v>
      </c>
      <c r="I74" s="349">
        <v>0</v>
      </c>
      <c r="J74" s="349"/>
      <c r="K74" s="350">
        <v>0</v>
      </c>
      <c r="L74" s="350"/>
      <c r="M74" s="349">
        <v>0</v>
      </c>
      <c r="N74" s="349"/>
      <c r="O74" s="350">
        <v>0</v>
      </c>
      <c r="P74" s="350"/>
      <c r="Q74" s="349">
        <v>0</v>
      </c>
      <c r="R74" s="349"/>
      <c r="S74" s="350">
        <v>0</v>
      </c>
      <c r="T74" s="350"/>
      <c r="U74" s="349">
        <v>0</v>
      </c>
      <c r="V74" s="349"/>
      <c r="W74" s="350">
        <v>0</v>
      </c>
      <c r="X74" s="350"/>
      <c r="Y74" s="349">
        <v>0</v>
      </c>
      <c r="Z74" s="349"/>
      <c r="AA74" s="350">
        <v>0</v>
      </c>
      <c r="AB74" s="350"/>
      <c r="AC74" s="349">
        <v>0</v>
      </c>
      <c r="AD74" s="349"/>
      <c r="AE74" s="350">
        <v>0</v>
      </c>
      <c r="AF74" s="350"/>
      <c r="AG74" s="349">
        <v>0</v>
      </c>
      <c r="AH74" s="349"/>
      <c r="AI74" s="350">
        <v>0</v>
      </c>
      <c r="AJ74" s="350"/>
      <c r="AK74" s="349">
        <v>0</v>
      </c>
      <c r="AL74" s="349"/>
      <c r="AM74" s="350">
        <v>0</v>
      </c>
      <c r="AN74" s="350"/>
      <c r="AO74" s="349">
        <v>0</v>
      </c>
      <c r="AP74" s="349"/>
      <c r="AQ74" s="350">
        <v>0</v>
      </c>
      <c r="AR74" s="350"/>
      <c r="AS74" s="349">
        <v>0</v>
      </c>
      <c r="AT74" s="349"/>
      <c r="AU74" s="350">
        <v>0</v>
      </c>
      <c r="AV74" s="350"/>
      <c r="AW74" s="351">
        <v>0</v>
      </c>
      <c r="AX74" s="351"/>
      <c r="AY74" s="350">
        <v>0</v>
      </c>
      <c r="AZ74" s="350"/>
      <c r="BA74" s="349">
        <v>0</v>
      </c>
      <c r="BB74" s="349"/>
      <c r="BC74" s="350">
        <v>0</v>
      </c>
      <c r="BD74" s="350"/>
      <c r="BE74" s="349">
        <v>0</v>
      </c>
      <c r="BF74" s="349"/>
      <c r="BG74" s="350">
        <v>0</v>
      </c>
      <c r="BH74" s="350"/>
      <c r="BI74" s="349">
        <v>0</v>
      </c>
      <c r="BJ74" s="349"/>
      <c r="BK74" s="350">
        <v>0</v>
      </c>
      <c r="BL74" s="350"/>
      <c r="BM74" s="349">
        <v>0</v>
      </c>
      <c r="BN74" s="349"/>
      <c r="BO74" s="350">
        <v>0</v>
      </c>
      <c r="BP74" s="350"/>
      <c r="BQ74" s="349">
        <v>0</v>
      </c>
      <c r="BR74" s="349"/>
      <c r="BS74" s="350">
        <v>0</v>
      </c>
      <c r="BT74" s="350"/>
      <c r="BU74" s="349">
        <v>0</v>
      </c>
      <c r="BV74" s="349"/>
      <c r="BW74" s="350">
        <v>0</v>
      </c>
      <c r="BX74" s="350"/>
      <c r="BY74" s="349">
        <v>0</v>
      </c>
      <c r="BZ74" s="349"/>
      <c r="CA74" s="350">
        <v>0</v>
      </c>
      <c r="CB74" s="350"/>
      <c r="CC74" s="349">
        <v>0</v>
      </c>
      <c r="CD74" s="349"/>
      <c r="CE74" s="350">
        <v>0</v>
      </c>
      <c r="CF74" s="350"/>
      <c r="CG74" s="349">
        <v>0</v>
      </c>
      <c r="CH74" s="349"/>
      <c r="CI74" s="350">
        <v>0</v>
      </c>
      <c r="CJ74" s="350"/>
      <c r="CK74" s="349">
        <v>0</v>
      </c>
      <c r="CL74" s="349"/>
      <c r="CM74" s="350">
        <v>0</v>
      </c>
      <c r="CN74" s="350"/>
      <c r="CO74" s="349">
        <v>0</v>
      </c>
      <c r="CP74" s="349"/>
      <c r="CQ74" s="350">
        <v>0</v>
      </c>
      <c r="CR74" s="350"/>
      <c r="CS74" s="349">
        <v>0</v>
      </c>
      <c r="CT74" s="349"/>
      <c r="CU74" s="350">
        <v>0</v>
      </c>
      <c r="CV74" s="350"/>
      <c r="CW74" s="349">
        <v>0</v>
      </c>
      <c r="CX74" s="349"/>
      <c r="CY74" s="350">
        <v>0</v>
      </c>
      <c r="CZ74" s="350"/>
      <c r="DA74" s="349">
        <v>0</v>
      </c>
      <c r="DB74" s="349"/>
      <c r="DC74" s="350">
        <v>0</v>
      </c>
      <c r="DD74" s="350"/>
      <c r="DE74" s="349">
        <v>0</v>
      </c>
      <c r="DF74" s="349"/>
      <c r="DG74" s="350">
        <v>0</v>
      </c>
      <c r="DH74" s="350"/>
      <c r="DI74" s="349">
        <v>0</v>
      </c>
      <c r="DJ74" s="349"/>
      <c r="DK74" s="350">
        <v>0</v>
      </c>
      <c r="DL74" s="350"/>
      <c r="DM74" s="349">
        <v>0</v>
      </c>
      <c r="DN74" s="349"/>
      <c r="DO74" s="350">
        <v>0</v>
      </c>
      <c r="DP74" s="350"/>
    </row>
    <row r="75" spans="1:120" ht="15" customHeight="1" x14ac:dyDescent="0.2">
      <c r="F75" s="347" t="s">
        <v>624</v>
      </c>
      <c r="I75" s="349">
        <v>543.36057350373585</v>
      </c>
      <c r="J75" s="349">
        <v>0</v>
      </c>
      <c r="K75" s="350">
        <v>46.112485054516128</v>
      </c>
      <c r="L75" s="350">
        <v>0</v>
      </c>
      <c r="M75" s="349">
        <v>-9.1726168713021252</v>
      </c>
      <c r="N75" s="349">
        <v>0</v>
      </c>
      <c r="O75" s="350">
        <v>-1.6177890488061166</v>
      </c>
      <c r="P75" s="350">
        <v>0</v>
      </c>
      <c r="Q75" s="349">
        <v>457.19920983782447</v>
      </c>
      <c r="R75" s="349">
        <v>0</v>
      </c>
      <c r="S75" s="350">
        <v>-337.91003893052618</v>
      </c>
      <c r="T75" s="350">
        <v>0</v>
      </c>
      <c r="U75" s="349">
        <v>174.35154875554485</v>
      </c>
      <c r="V75" s="349">
        <v>0</v>
      </c>
      <c r="W75" s="350">
        <v>-169.37568289161925</v>
      </c>
      <c r="X75" s="350">
        <v>0</v>
      </c>
      <c r="Y75" s="349">
        <v>-281.87861534529247</v>
      </c>
      <c r="Z75" s="349">
        <v>0</v>
      </c>
      <c r="AA75" s="350">
        <v>346.16249367714124</v>
      </c>
      <c r="AB75" s="350">
        <v>0</v>
      </c>
      <c r="AC75" s="349">
        <v>540.97097047165505</v>
      </c>
      <c r="AD75" s="349">
        <v>0</v>
      </c>
      <c r="AE75" s="350">
        <v>752.59065387112673</v>
      </c>
      <c r="AF75" s="350">
        <v>0</v>
      </c>
      <c r="AG75" s="349">
        <v>534.61475276643318</v>
      </c>
      <c r="AH75" s="349">
        <v>0</v>
      </c>
      <c r="AI75" s="350">
        <v>-85.540784735468833</v>
      </c>
      <c r="AJ75" s="350">
        <v>0</v>
      </c>
      <c r="AK75" s="349">
        <v>24.477276961469443</v>
      </c>
      <c r="AL75" s="349">
        <v>0</v>
      </c>
      <c r="AM75" s="350">
        <v>313.9288343101075</v>
      </c>
      <c r="AN75" s="350">
        <v>0</v>
      </c>
      <c r="AO75" s="349">
        <v>589.88708420784724</v>
      </c>
      <c r="AP75" s="349">
        <v>0</v>
      </c>
      <c r="AQ75" s="350">
        <v>-165.37374835844867</v>
      </c>
      <c r="AR75" s="350">
        <v>0</v>
      </c>
      <c r="AS75" s="349">
        <v>-588.381645816316</v>
      </c>
      <c r="AT75" s="349">
        <v>0</v>
      </c>
      <c r="AU75" s="350">
        <v>-343.40907909578482</v>
      </c>
      <c r="AV75" s="350">
        <v>0</v>
      </c>
      <c r="AW75" s="351">
        <v>468.17353033041491</v>
      </c>
      <c r="AX75" s="351">
        <v>0</v>
      </c>
      <c r="AY75" s="350">
        <v>157.77246723319513</v>
      </c>
      <c r="AZ75" s="350">
        <v>0</v>
      </c>
      <c r="BA75" s="349">
        <v>-216.00183044517371</v>
      </c>
      <c r="BB75" s="349">
        <v>0</v>
      </c>
      <c r="BC75" s="350">
        <v>-139.28502084290631</v>
      </c>
      <c r="BD75" s="350">
        <v>0</v>
      </c>
      <c r="BE75" s="349">
        <v>-250.82973283956176</v>
      </c>
      <c r="BF75" s="349">
        <v>0</v>
      </c>
      <c r="BG75" s="350">
        <v>46.431559034734391</v>
      </c>
      <c r="BH75" s="350">
        <v>0</v>
      </c>
      <c r="BI75" s="349">
        <v>483.3352729600233</v>
      </c>
      <c r="BJ75" s="349">
        <v>0</v>
      </c>
      <c r="BK75" s="350">
        <v>418.34141381573954</v>
      </c>
      <c r="BL75" s="350">
        <v>0</v>
      </c>
      <c r="BM75" s="349">
        <v>-487.75696916971629</v>
      </c>
      <c r="BN75" s="349">
        <v>0</v>
      </c>
      <c r="BO75" s="350">
        <v>-1.6964859513645933</v>
      </c>
      <c r="BP75" s="350">
        <v>0</v>
      </c>
      <c r="BQ75" s="349">
        <v>187.30022839791218</v>
      </c>
      <c r="BR75" s="349">
        <v>0</v>
      </c>
      <c r="BS75" s="350">
        <v>20.824672622276239</v>
      </c>
      <c r="BT75" s="350">
        <v>0</v>
      </c>
      <c r="BU75" s="349">
        <v>960.95300585026462</v>
      </c>
      <c r="BV75" s="349">
        <v>0</v>
      </c>
      <c r="BW75" s="350">
        <v>-271.23756908176779</v>
      </c>
      <c r="BX75" s="350">
        <v>0</v>
      </c>
      <c r="BY75" s="349">
        <v>-161.06532065363081</v>
      </c>
      <c r="BZ75" s="349">
        <v>0</v>
      </c>
      <c r="CA75" s="350">
        <v>-453.44570094100936</v>
      </c>
      <c r="CB75" s="350">
        <v>0</v>
      </c>
      <c r="CC75" s="349">
        <v>-553.56704930604883</v>
      </c>
      <c r="CD75" s="349">
        <v>0</v>
      </c>
      <c r="CE75" s="350">
        <v>185.08839068728889</v>
      </c>
      <c r="CF75" s="350">
        <v>0</v>
      </c>
      <c r="CG75" s="349">
        <v>-550.1847529147451</v>
      </c>
      <c r="CH75" s="349">
        <v>0</v>
      </c>
      <c r="CI75" s="350">
        <v>-1233.2966573768567</v>
      </c>
      <c r="CJ75" s="350">
        <v>0</v>
      </c>
      <c r="CK75" s="349">
        <v>-176.8562320635051</v>
      </c>
      <c r="CL75" s="349">
        <v>0</v>
      </c>
      <c r="CM75" s="350">
        <v>-466.83540420514714</v>
      </c>
      <c r="CN75" s="350">
        <v>0</v>
      </c>
      <c r="CO75" s="349">
        <v>-342.886173760421</v>
      </c>
      <c r="CP75" s="349">
        <v>0</v>
      </c>
      <c r="CQ75" s="350">
        <v>-176.8562320635051</v>
      </c>
      <c r="CR75" s="350">
        <v>0</v>
      </c>
      <c r="CS75" s="349">
        <v>-163.33997896646008</v>
      </c>
      <c r="CT75" s="349">
        <v>0</v>
      </c>
      <c r="CU75" s="350">
        <v>-283.2153757721108</v>
      </c>
      <c r="CV75" s="350">
        <v>0</v>
      </c>
      <c r="CW75" s="349">
        <v>-154.63763197985236</v>
      </c>
      <c r="CX75" s="349">
        <v>0</v>
      </c>
      <c r="CY75" s="350">
        <v>-43.086723225645073</v>
      </c>
      <c r="CZ75" s="350">
        <v>0</v>
      </c>
      <c r="DA75" s="349">
        <v>65.719668566848668</v>
      </c>
      <c r="DB75" s="349">
        <v>0</v>
      </c>
      <c r="DC75" s="350">
        <v>-153.44630359323514</v>
      </c>
      <c r="DD75" s="350">
        <v>0</v>
      </c>
      <c r="DE75" s="349">
        <v>-85.141803835027645</v>
      </c>
      <c r="DF75" s="349">
        <v>0</v>
      </c>
      <c r="DG75" s="350">
        <v>187.03019738865743</v>
      </c>
      <c r="DH75" s="350">
        <v>0</v>
      </c>
      <c r="DI75" s="349">
        <v>-132.49845474963075</v>
      </c>
      <c r="DJ75" s="349">
        <v>0</v>
      </c>
      <c r="DK75" s="350">
        <v>38.217290795235897</v>
      </c>
      <c r="DL75" s="350">
        <v>0</v>
      </c>
      <c r="DM75" s="349">
        <v>18.295261026188371</v>
      </c>
      <c r="DN75" s="349">
        <v>0</v>
      </c>
      <c r="DO75" s="350">
        <v>213.93888034798175</v>
      </c>
      <c r="DP75" s="350">
        <v>0</v>
      </c>
    </row>
    <row r="76" spans="1:120" ht="15" customHeight="1" x14ac:dyDescent="0.2">
      <c r="G76" s="347" t="s">
        <v>614</v>
      </c>
      <c r="I76" s="349">
        <v>0</v>
      </c>
      <c r="J76" s="349"/>
      <c r="K76" s="350">
        <v>0</v>
      </c>
      <c r="L76" s="350"/>
      <c r="M76" s="349">
        <v>0</v>
      </c>
      <c r="N76" s="349"/>
      <c r="O76" s="350">
        <v>0</v>
      </c>
      <c r="P76" s="350"/>
      <c r="Q76" s="349">
        <v>325.06346005243267</v>
      </c>
      <c r="R76" s="349"/>
      <c r="S76" s="350">
        <v>-390.51480022243231</v>
      </c>
      <c r="T76" s="350"/>
      <c r="U76" s="349">
        <v>204.87525529999948</v>
      </c>
      <c r="V76" s="349"/>
      <c r="W76" s="350">
        <v>-263.58089583314768</v>
      </c>
      <c r="X76" s="350"/>
      <c r="Y76" s="349">
        <v>-230.80027691685177</v>
      </c>
      <c r="Z76" s="349"/>
      <c r="AA76" s="350">
        <v>373.38685428950453</v>
      </c>
      <c r="AB76" s="350"/>
      <c r="AC76" s="349">
        <v>280.64161202049536</v>
      </c>
      <c r="AD76" s="349"/>
      <c r="AE76" s="350">
        <v>732.86346358000719</v>
      </c>
      <c r="AF76" s="350"/>
      <c r="AG76" s="349">
        <v>323.61056463757541</v>
      </c>
      <c r="AH76" s="349"/>
      <c r="AI76" s="350">
        <v>132.3751755361327</v>
      </c>
      <c r="AJ76" s="350"/>
      <c r="AK76" s="349">
        <v>-92.894323324233483</v>
      </c>
      <c r="AL76" s="349"/>
      <c r="AM76" s="350">
        <v>293.85532004761399</v>
      </c>
      <c r="AN76" s="350"/>
      <c r="AO76" s="349">
        <v>227.68260231973863</v>
      </c>
      <c r="AP76" s="349"/>
      <c r="AQ76" s="350">
        <v>-66.79022212508653</v>
      </c>
      <c r="AR76" s="350"/>
      <c r="AS76" s="349">
        <v>-514.20638038311972</v>
      </c>
      <c r="AT76" s="349"/>
      <c r="AU76" s="350">
        <v>-254.33994720939245</v>
      </c>
      <c r="AV76" s="350"/>
      <c r="AW76" s="351">
        <v>354.57128387383864</v>
      </c>
      <c r="AX76" s="351"/>
      <c r="AY76" s="350">
        <v>95.599677818742293</v>
      </c>
      <c r="AZ76" s="350"/>
      <c r="BA76" s="349">
        <v>-522.46239065328245</v>
      </c>
      <c r="BB76" s="349"/>
      <c r="BC76" s="350">
        <v>-207.73712775687136</v>
      </c>
      <c r="BD76" s="350"/>
      <c r="BE76" s="349">
        <v>-204.92049648147986</v>
      </c>
      <c r="BF76" s="349"/>
      <c r="BG76" s="350">
        <v>19.34841860313918</v>
      </c>
      <c r="BH76" s="350"/>
      <c r="BI76" s="349">
        <v>439.1246355637868</v>
      </c>
      <c r="BJ76" s="349"/>
      <c r="BK76" s="350">
        <v>590.16771503289056</v>
      </c>
      <c r="BL76" s="350"/>
      <c r="BM76" s="349">
        <v>-228.20162067999991</v>
      </c>
      <c r="BN76" s="349"/>
      <c r="BO76" s="350">
        <v>-34.865004739999677</v>
      </c>
      <c r="BP76" s="350"/>
      <c r="BQ76" s="349">
        <v>-33.834164684644747</v>
      </c>
      <c r="BR76" s="349"/>
      <c r="BS76" s="350">
        <v>295.53838339464482</v>
      </c>
      <c r="BT76" s="350"/>
      <c r="BU76" s="349">
        <v>851.77841366920256</v>
      </c>
      <c r="BV76" s="349"/>
      <c r="BW76" s="350">
        <v>-64.617054206776629</v>
      </c>
      <c r="BX76" s="350"/>
      <c r="BY76" s="349">
        <v>89.501122082362599</v>
      </c>
      <c r="BZ76" s="349"/>
      <c r="CA76" s="350">
        <v>-473.5515985321681</v>
      </c>
      <c r="CB76" s="350"/>
      <c r="CC76" s="349">
        <v>-372.04002104717574</v>
      </c>
      <c r="CD76" s="349"/>
      <c r="CE76" s="350">
        <v>-4.548602009383103</v>
      </c>
      <c r="CF76" s="350"/>
      <c r="CG76" s="349">
        <v>-565.64919071578743</v>
      </c>
      <c r="CH76" s="349"/>
      <c r="CI76" s="350">
        <v>-1227.0862187902744</v>
      </c>
      <c r="CJ76" s="350"/>
      <c r="CK76" s="349">
        <v>-88.591460643505229</v>
      </c>
      <c r="CL76" s="349"/>
      <c r="CM76" s="350">
        <v>-436.33205830514726</v>
      </c>
      <c r="CN76" s="350"/>
      <c r="CO76" s="349">
        <v>-212.92047056042088</v>
      </c>
      <c r="CP76" s="349"/>
      <c r="CQ76" s="350">
        <v>-88.591460643505229</v>
      </c>
      <c r="CR76" s="350"/>
      <c r="CS76" s="349">
        <v>-148.50463661646017</v>
      </c>
      <c r="CT76" s="349"/>
      <c r="CU76" s="350">
        <v>-71.738502222110526</v>
      </c>
      <c r="CV76" s="350"/>
      <c r="CW76" s="349">
        <v>-200.15939431985248</v>
      </c>
      <c r="CX76" s="349"/>
      <c r="CY76" s="350">
        <v>23.790994724354846</v>
      </c>
      <c r="CZ76" s="350"/>
      <c r="DA76" s="349">
        <v>29.322468960528681</v>
      </c>
      <c r="DB76" s="349"/>
      <c r="DC76" s="350">
        <v>-61.604946658819017</v>
      </c>
      <c r="DD76" s="350"/>
      <c r="DE76" s="349">
        <v>-12.268164645532636</v>
      </c>
      <c r="DF76" s="349"/>
      <c r="DG76" s="350">
        <v>189.76997725995363</v>
      </c>
      <c r="DH76" s="350"/>
      <c r="DI76" s="349">
        <v>-74.140775961572274</v>
      </c>
      <c r="DJ76" s="349"/>
      <c r="DK76" s="350">
        <v>121.62809105352795</v>
      </c>
      <c r="DL76" s="350"/>
      <c r="DM76" s="349">
        <v>34.84510516909495</v>
      </c>
      <c r="DN76" s="349"/>
      <c r="DO76" s="350">
        <v>136.10493075489001</v>
      </c>
      <c r="DP76" s="350"/>
    </row>
    <row r="77" spans="1:120" ht="15" customHeight="1" x14ac:dyDescent="0.2">
      <c r="G77" s="347" t="s">
        <v>615</v>
      </c>
      <c r="I77" s="349">
        <v>543.36057350373585</v>
      </c>
      <c r="J77" s="349"/>
      <c r="K77" s="350">
        <v>46.112485054516128</v>
      </c>
      <c r="L77" s="350"/>
      <c r="M77" s="349">
        <v>-9.1726168713021252</v>
      </c>
      <c r="N77" s="349"/>
      <c r="O77" s="350">
        <v>-1.6177890488061166</v>
      </c>
      <c r="P77" s="350"/>
      <c r="Q77" s="349">
        <v>132.13574978539179</v>
      </c>
      <c r="R77" s="349"/>
      <c r="S77" s="350">
        <v>52.604761291906129</v>
      </c>
      <c r="T77" s="350"/>
      <c r="U77" s="349">
        <v>-30.523706544454626</v>
      </c>
      <c r="V77" s="349"/>
      <c r="W77" s="350">
        <v>94.20521294152843</v>
      </c>
      <c r="X77" s="350"/>
      <c r="Y77" s="349">
        <v>-51.078338428440702</v>
      </c>
      <c r="Z77" s="349"/>
      <c r="AA77" s="350">
        <v>-27.224360612363284</v>
      </c>
      <c r="AB77" s="350"/>
      <c r="AC77" s="349">
        <v>260.32935845115969</v>
      </c>
      <c r="AD77" s="349"/>
      <c r="AE77" s="350">
        <v>19.727190291119541</v>
      </c>
      <c r="AF77" s="350"/>
      <c r="AG77" s="349">
        <v>211.00418812885778</v>
      </c>
      <c r="AH77" s="349"/>
      <c r="AI77" s="350">
        <v>-217.91596027160153</v>
      </c>
      <c r="AJ77" s="350"/>
      <c r="AK77" s="349">
        <v>117.37160028570293</v>
      </c>
      <c r="AL77" s="349"/>
      <c r="AM77" s="350">
        <v>20.073514262493518</v>
      </c>
      <c r="AN77" s="350"/>
      <c r="AO77" s="349">
        <v>362.2044818881086</v>
      </c>
      <c r="AP77" s="349"/>
      <c r="AQ77" s="350">
        <v>-98.583526233362136</v>
      </c>
      <c r="AR77" s="350"/>
      <c r="AS77" s="349">
        <v>-74.175265433196273</v>
      </c>
      <c r="AT77" s="349"/>
      <c r="AU77" s="350">
        <v>-89.06913188639237</v>
      </c>
      <c r="AV77" s="350"/>
      <c r="AW77" s="351">
        <v>113.60224645657627</v>
      </c>
      <c r="AX77" s="351"/>
      <c r="AY77" s="350">
        <v>62.172789414452836</v>
      </c>
      <c r="AZ77" s="350"/>
      <c r="BA77" s="349">
        <v>306.46056020810875</v>
      </c>
      <c r="BB77" s="349"/>
      <c r="BC77" s="350">
        <v>68.452106913965054</v>
      </c>
      <c r="BD77" s="350"/>
      <c r="BE77" s="349">
        <v>-45.909236358081898</v>
      </c>
      <c r="BF77" s="349"/>
      <c r="BG77" s="350">
        <v>27.083140431595211</v>
      </c>
      <c r="BH77" s="350"/>
      <c r="BI77" s="349">
        <v>44.210637396236507</v>
      </c>
      <c r="BJ77" s="349"/>
      <c r="BK77" s="350">
        <v>-171.82630121715101</v>
      </c>
      <c r="BL77" s="350"/>
      <c r="BM77" s="349">
        <v>-259.55534848971638</v>
      </c>
      <c r="BN77" s="349"/>
      <c r="BO77" s="350">
        <v>33.168518788635083</v>
      </c>
      <c r="BP77" s="350"/>
      <c r="BQ77" s="349">
        <v>221.13439308255693</v>
      </c>
      <c r="BR77" s="349"/>
      <c r="BS77" s="350">
        <v>-274.71371077236859</v>
      </c>
      <c r="BT77" s="350"/>
      <c r="BU77" s="349">
        <v>109.17459218106205</v>
      </c>
      <c r="BV77" s="349"/>
      <c r="BW77" s="350">
        <v>-206.62051487499116</v>
      </c>
      <c r="BX77" s="350"/>
      <c r="BY77" s="349">
        <v>-250.56644273599341</v>
      </c>
      <c r="BZ77" s="349"/>
      <c r="CA77" s="350">
        <v>20.105897591158737</v>
      </c>
      <c r="CB77" s="350"/>
      <c r="CC77" s="349">
        <v>-181.52702825887309</v>
      </c>
      <c r="CD77" s="349"/>
      <c r="CE77" s="350">
        <v>189.636992696672</v>
      </c>
      <c r="CF77" s="350"/>
      <c r="CG77" s="349">
        <v>15.464437801042322</v>
      </c>
      <c r="CH77" s="349"/>
      <c r="CI77" s="350">
        <v>-6.2104385865823133</v>
      </c>
      <c r="CJ77" s="350"/>
      <c r="CK77" s="349">
        <v>-88.264771419999875</v>
      </c>
      <c r="CL77" s="349"/>
      <c r="CM77" s="350">
        <v>-30.503345899999886</v>
      </c>
      <c r="CN77" s="350"/>
      <c r="CO77" s="349">
        <v>-129.96570320000012</v>
      </c>
      <c r="CP77" s="349"/>
      <c r="CQ77" s="350">
        <v>-88.264771419999875</v>
      </c>
      <c r="CR77" s="350"/>
      <c r="CS77" s="349">
        <v>-14.835342349999905</v>
      </c>
      <c r="CT77" s="349"/>
      <c r="CU77" s="350">
        <v>-211.47687355000028</v>
      </c>
      <c r="CV77" s="350"/>
      <c r="CW77" s="349">
        <v>45.521762340000123</v>
      </c>
      <c r="CX77" s="349"/>
      <c r="CY77" s="350">
        <v>-66.877717949999919</v>
      </c>
      <c r="CZ77" s="350"/>
      <c r="DA77" s="349">
        <v>36.397199606319987</v>
      </c>
      <c r="DB77" s="349"/>
      <c r="DC77" s="350">
        <v>-91.841356934416126</v>
      </c>
      <c r="DD77" s="350"/>
      <c r="DE77" s="349">
        <v>-72.873639189495009</v>
      </c>
      <c r="DF77" s="349"/>
      <c r="DG77" s="350">
        <v>-2.7397798712962071</v>
      </c>
      <c r="DH77" s="350"/>
      <c r="DI77" s="349">
        <v>-58.357678788058479</v>
      </c>
      <c r="DJ77" s="349"/>
      <c r="DK77" s="350">
        <v>-83.410800258292056</v>
      </c>
      <c r="DL77" s="350"/>
      <c r="DM77" s="349">
        <v>-16.549844142906579</v>
      </c>
      <c r="DN77" s="349"/>
      <c r="DO77" s="350">
        <v>77.833949593091745</v>
      </c>
      <c r="DP77" s="350"/>
    </row>
    <row r="78" spans="1:120" ht="15" customHeight="1" x14ac:dyDescent="0.2">
      <c r="F78" s="347" t="s">
        <v>544</v>
      </c>
      <c r="H78" s="347"/>
      <c r="I78" s="349">
        <v>239.7963583497677</v>
      </c>
      <c r="J78" s="349">
        <v>0</v>
      </c>
      <c r="K78" s="350">
        <v>505.83819251235491</v>
      </c>
      <c r="L78" s="350">
        <v>0</v>
      </c>
      <c r="M78" s="349">
        <v>159.59263175513556</v>
      </c>
      <c r="N78" s="349">
        <v>0</v>
      </c>
      <c r="O78" s="350">
        <v>87.142863593652493</v>
      </c>
      <c r="P78" s="350">
        <v>0</v>
      </c>
      <c r="Q78" s="349">
        <v>245.38845895366671</v>
      </c>
      <c r="R78" s="349">
        <v>0</v>
      </c>
      <c r="S78" s="350">
        <v>279.52161890063451</v>
      </c>
      <c r="T78" s="350">
        <v>0</v>
      </c>
      <c r="U78" s="349">
        <v>111.38060310193153</v>
      </c>
      <c r="V78" s="349">
        <v>0</v>
      </c>
      <c r="W78" s="350">
        <v>205.12386470791108</v>
      </c>
      <c r="X78" s="350">
        <v>0</v>
      </c>
      <c r="Y78" s="349">
        <v>474.96785522008918</v>
      </c>
      <c r="Z78" s="349">
        <v>0</v>
      </c>
      <c r="AA78" s="350">
        <v>133.73881196592208</v>
      </c>
      <c r="AB78" s="350">
        <v>0</v>
      </c>
      <c r="AC78" s="349">
        <v>2.7781791177328614</v>
      </c>
      <c r="AD78" s="349">
        <v>0</v>
      </c>
      <c r="AE78" s="350">
        <v>34.209368016743511</v>
      </c>
      <c r="AF78" s="350">
        <v>0</v>
      </c>
      <c r="AG78" s="349">
        <v>4.5003932435321516</v>
      </c>
      <c r="AH78" s="349">
        <v>0</v>
      </c>
      <c r="AI78" s="350">
        <v>142.70442862492308</v>
      </c>
      <c r="AJ78" s="350">
        <v>0</v>
      </c>
      <c r="AK78" s="349">
        <v>30.420302667032715</v>
      </c>
      <c r="AL78" s="349">
        <v>0</v>
      </c>
      <c r="AM78" s="350">
        <v>291.97511614763312</v>
      </c>
      <c r="AN78" s="350">
        <v>0</v>
      </c>
      <c r="AO78" s="349">
        <v>-42.342731722803329</v>
      </c>
      <c r="AP78" s="349">
        <v>0</v>
      </c>
      <c r="AQ78" s="350">
        <v>140.67945793967573</v>
      </c>
      <c r="AR78" s="350">
        <v>0</v>
      </c>
      <c r="AS78" s="349">
        <v>803.84284452340432</v>
      </c>
      <c r="AT78" s="349">
        <v>0</v>
      </c>
      <c r="AU78" s="350">
        <v>384.87084798903879</v>
      </c>
      <c r="AV78" s="350">
        <v>0</v>
      </c>
      <c r="AW78" s="351">
        <v>60.943445821022721</v>
      </c>
      <c r="AX78" s="351">
        <v>0</v>
      </c>
      <c r="AY78" s="350">
        <v>462.14684174547432</v>
      </c>
      <c r="AZ78" s="350">
        <v>0</v>
      </c>
      <c r="BA78" s="349">
        <v>466.36289636536213</v>
      </c>
      <c r="BB78" s="349">
        <v>0</v>
      </c>
      <c r="BC78" s="350">
        <v>233.82952612547624</v>
      </c>
      <c r="BD78" s="350">
        <v>0</v>
      </c>
      <c r="BE78" s="349">
        <v>70.696837912701469</v>
      </c>
      <c r="BF78" s="349">
        <v>0</v>
      </c>
      <c r="BG78" s="350">
        <v>-289.12375341726772</v>
      </c>
      <c r="BH78" s="350">
        <v>0</v>
      </c>
      <c r="BI78" s="349">
        <v>-71.039683840329403</v>
      </c>
      <c r="BJ78" s="349">
        <v>0</v>
      </c>
      <c r="BK78" s="350">
        <v>846.4198355498587</v>
      </c>
      <c r="BL78" s="350">
        <v>0</v>
      </c>
      <c r="BM78" s="349">
        <v>98.84831865056529</v>
      </c>
      <c r="BN78" s="349">
        <v>0</v>
      </c>
      <c r="BO78" s="350">
        <v>-358.56442097170509</v>
      </c>
      <c r="BP78" s="350">
        <v>0</v>
      </c>
      <c r="BQ78" s="349">
        <v>11.523479565732131</v>
      </c>
      <c r="BR78" s="349">
        <v>0</v>
      </c>
      <c r="BS78" s="350">
        <v>159.36631164746456</v>
      </c>
      <c r="BT78" s="350">
        <v>0</v>
      </c>
      <c r="BU78" s="349">
        <v>303.59707801227694</v>
      </c>
      <c r="BV78" s="349">
        <v>0</v>
      </c>
      <c r="BW78" s="350">
        <v>-172.27593338786403</v>
      </c>
      <c r="BX78" s="350">
        <v>0</v>
      </c>
      <c r="BY78" s="349">
        <v>-140.62712746208427</v>
      </c>
      <c r="BZ78" s="349">
        <v>0</v>
      </c>
      <c r="CA78" s="350">
        <v>178.74246734248834</v>
      </c>
      <c r="CB78" s="350">
        <v>0</v>
      </c>
      <c r="CC78" s="349">
        <v>-112.69058672792529</v>
      </c>
      <c r="CD78" s="349">
        <v>0</v>
      </c>
      <c r="CE78" s="350">
        <v>587.57924808639189</v>
      </c>
      <c r="CF78" s="350">
        <v>0</v>
      </c>
      <c r="CG78" s="349">
        <v>205.49366230898221</v>
      </c>
      <c r="CH78" s="349">
        <v>0</v>
      </c>
      <c r="CI78" s="350">
        <v>192.57741726330306</v>
      </c>
      <c r="CJ78" s="350">
        <v>0</v>
      </c>
      <c r="CK78" s="349">
        <v>75.309405818483071</v>
      </c>
      <c r="CL78" s="349">
        <v>0</v>
      </c>
      <c r="CM78" s="350">
        <v>831.36535086998219</v>
      </c>
      <c r="CN78" s="350">
        <v>0</v>
      </c>
      <c r="CO78" s="349">
        <v>348.06198800301269</v>
      </c>
      <c r="CP78" s="349">
        <v>0</v>
      </c>
      <c r="CQ78" s="350">
        <v>424.39940945268881</v>
      </c>
      <c r="CR78" s="350">
        <v>0</v>
      </c>
      <c r="CS78" s="349">
        <v>503.40952156151582</v>
      </c>
      <c r="CT78" s="349">
        <v>0</v>
      </c>
      <c r="CU78" s="350">
        <v>505.74877460878378</v>
      </c>
      <c r="CV78" s="350">
        <v>0</v>
      </c>
      <c r="CW78" s="349">
        <v>168.75222949529885</v>
      </c>
      <c r="CX78" s="349">
        <v>0</v>
      </c>
      <c r="CY78" s="350">
        <v>667.41856279888225</v>
      </c>
      <c r="CZ78" s="350">
        <v>0</v>
      </c>
      <c r="DA78" s="349">
        <v>222.24709623809309</v>
      </c>
      <c r="DB78" s="349">
        <v>0</v>
      </c>
      <c r="DC78" s="350">
        <v>578.6667845269676</v>
      </c>
      <c r="DD78" s="350">
        <v>0</v>
      </c>
      <c r="DE78" s="349">
        <v>231.31189520459813</v>
      </c>
      <c r="DF78" s="349">
        <v>0</v>
      </c>
      <c r="DG78" s="350">
        <v>719.90982075398995</v>
      </c>
      <c r="DH78" s="350">
        <v>0</v>
      </c>
      <c r="DI78" s="349">
        <v>281.63367151924132</v>
      </c>
      <c r="DJ78" s="349">
        <v>0</v>
      </c>
      <c r="DK78" s="350">
        <v>-261.95162884069822</v>
      </c>
      <c r="DL78" s="350">
        <v>0</v>
      </c>
      <c r="DM78" s="349">
        <v>159.11841645500797</v>
      </c>
      <c r="DN78" s="349">
        <v>0</v>
      </c>
      <c r="DO78" s="350">
        <v>527.88858540882279</v>
      </c>
      <c r="DP78" s="350">
        <v>0</v>
      </c>
    </row>
    <row r="79" spans="1:120" ht="15" customHeight="1" x14ac:dyDescent="0.2">
      <c r="G79" s="347" t="s">
        <v>614</v>
      </c>
      <c r="I79" s="349">
        <v>0</v>
      </c>
      <c r="J79" s="349"/>
      <c r="K79" s="350">
        <v>0</v>
      </c>
      <c r="L79" s="350"/>
      <c r="M79" s="349">
        <v>0</v>
      </c>
      <c r="N79" s="349"/>
      <c r="O79" s="350">
        <v>0</v>
      </c>
      <c r="P79" s="350"/>
      <c r="Q79" s="349">
        <v>0</v>
      </c>
      <c r="R79" s="349"/>
      <c r="S79" s="350">
        <v>0</v>
      </c>
      <c r="T79" s="350"/>
      <c r="U79" s="349">
        <v>0</v>
      </c>
      <c r="V79" s="349"/>
      <c r="W79" s="350">
        <v>0</v>
      </c>
      <c r="X79" s="350"/>
      <c r="Y79" s="349">
        <v>0</v>
      </c>
      <c r="Z79" s="349"/>
      <c r="AA79" s="350">
        <v>0</v>
      </c>
      <c r="AB79" s="350"/>
      <c r="AC79" s="349">
        <v>0</v>
      </c>
      <c r="AD79" s="349"/>
      <c r="AE79" s="350">
        <v>0</v>
      </c>
      <c r="AF79" s="350"/>
      <c r="AG79" s="349">
        <v>0</v>
      </c>
      <c r="AH79" s="349"/>
      <c r="AI79" s="350">
        <v>0</v>
      </c>
      <c r="AJ79" s="350"/>
      <c r="AK79" s="349">
        <v>0</v>
      </c>
      <c r="AL79" s="349"/>
      <c r="AM79" s="350">
        <v>0</v>
      </c>
      <c r="AN79" s="350"/>
      <c r="AO79" s="349">
        <v>0</v>
      </c>
      <c r="AP79" s="349"/>
      <c r="AQ79" s="350">
        <v>0</v>
      </c>
      <c r="AR79" s="350"/>
      <c r="AS79" s="349">
        <v>0</v>
      </c>
      <c r="AT79" s="349"/>
      <c r="AU79" s="350">
        <v>0</v>
      </c>
      <c r="AV79" s="350"/>
      <c r="AW79" s="351">
        <v>0</v>
      </c>
      <c r="AX79" s="351"/>
      <c r="AY79" s="350">
        <v>0</v>
      </c>
      <c r="AZ79" s="350"/>
      <c r="BA79" s="349">
        <v>0</v>
      </c>
      <c r="BB79" s="349"/>
      <c r="BC79" s="350">
        <v>0</v>
      </c>
      <c r="BD79" s="350"/>
      <c r="BE79" s="349">
        <v>0</v>
      </c>
      <c r="BF79" s="349"/>
      <c r="BG79" s="350">
        <v>0</v>
      </c>
      <c r="BH79" s="350"/>
      <c r="BI79" s="349">
        <v>0</v>
      </c>
      <c r="BJ79" s="349"/>
      <c r="BK79" s="350">
        <v>0</v>
      </c>
      <c r="BL79" s="350"/>
      <c r="BM79" s="349">
        <v>0</v>
      </c>
      <c r="BN79" s="349"/>
      <c r="BO79" s="350">
        <v>0</v>
      </c>
      <c r="BP79" s="350"/>
      <c r="BQ79" s="349">
        <v>0</v>
      </c>
      <c r="BR79" s="349"/>
      <c r="BS79" s="350">
        <v>0</v>
      </c>
      <c r="BT79" s="350"/>
      <c r="BU79" s="349">
        <v>0</v>
      </c>
      <c r="BV79" s="349"/>
      <c r="BW79" s="350">
        <v>0</v>
      </c>
      <c r="BX79" s="350"/>
      <c r="BY79" s="349">
        <v>0</v>
      </c>
      <c r="BZ79" s="349"/>
      <c r="CA79" s="350">
        <v>0</v>
      </c>
      <c r="CB79" s="350"/>
      <c r="CC79" s="349">
        <v>0</v>
      </c>
      <c r="CD79" s="349"/>
      <c r="CE79" s="350">
        <v>0</v>
      </c>
      <c r="CF79" s="350"/>
      <c r="CG79" s="349">
        <v>0</v>
      </c>
      <c r="CH79" s="349"/>
      <c r="CI79" s="350">
        <v>0</v>
      </c>
      <c r="CJ79" s="350"/>
      <c r="CK79" s="349">
        <v>0</v>
      </c>
      <c r="CL79" s="349"/>
      <c r="CM79" s="350">
        <v>0</v>
      </c>
      <c r="CN79" s="350"/>
      <c r="CO79" s="349">
        <v>0</v>
      </c>
      <c r="CP79" s="349"/>
      <c r="CQ79" s="350">
        <v>0</v>
      </c>
      <c r="CR79" s="350"/>
      <c r="CS79" s="349">
        <v>0</v>
      </c>
      <c r="CT79" s="349"/>
      <c r="CU79" s="350">
        <v>0</v>
      </c>
      <c r="CV79" s="350"/>
      <c r="CW79" s="349">
        <v>0</v>
      </c>
      <c r="CX79" s="349"/>
      <c r="CY79" s="350">
        <v>0</v>
      </c>
      <c r="CZ79" s="350"/>
      <c r="DA79" s="349">
        <v>0</v>
      </c>
      <c r="DB79" s="349"/>
      <c r="DC79" s="350">
        <v>0</v>
      </c>
      <c r="DD79" s="350"/>
      <c r="DE79" s="349">
        <v>0</v>
      </c>
      <c r="DF79" s="349"/>
      <c r="DG79" s="350">
        <v>0</v>
      </c>
      <c r="DH79" s="350"/>
      <c r="DI79" s="349">
        <v>0</v>
      </c>
      <c r="DJ79" s="349"/>
      <c r="DK79" s="350">
        <v>0</v>
      </c>
      <c r="DL79" s="350"/>
      <c r="DM79" s="349">
        <v>0</v>
      </c>
      <c r="DN79" s="349"/>
      <c r="DO79" s="350">
        <v>0</v>
      </c>
      <c r="DP79" s="350"/>
    </row>
    <row r="80" spans="1:120" ht="15" customHeight="1" x14ac:dyDescent="0.2">
      <c r="G80" s="347" t="s">
        <v>615</v>
      </c>
      <c r="I80" s="349">
        <v>239.7963583497677</v>
      </c>
      <c r="J80" s="349"/>
      <c r="K80" s="350">
        <v>505.83819251235491</v>
      </c>
      <c r="L80" s="350"/>
      <c r="M80" s="349">
        <v>159.59263175513556</v>
      </c>
      <c r="N80" s="349"/>
      <c r="O80" s="350">
        <v>87.142863593652493</v>
      </c>
      <c r="P80" s="350"/>
      <c r="Q80" s="349">
        <v>245.38845895366671</v>
      </c>
      <c r="R80" s="349"/>
      <c r="S80" s="350">
        <v>279.52161890063451</v>
      </c>
      <c r="T80" s="350"/>
      <c r="U80" s="349">
        <v>111.38060310193153</v>
      </c>
      <c r="V80" s="349"/>
      <c r="W80" s="350">
        <v>205.12386470791108</v>
      </c>
      <c r="X80" s="350"/>
      <c r="Y80" s="349">
        <v>474.96785522008918</v>
      </c>
      <c r="Z80" s="349"/>
      <c r="AA80" s="350">
        <v>133.73881196592208</v>
      </c>
      <c r="AB80" s="350"/>
      <c r="AC80" s="349">
        <v>2.7781791177328614</v>
      </c>
      <c r="AD80" s="349"/>
      <c r="AE80" s="350">
        <v>34.209368016743511</v>
      </c>
      <c r="AF80" s="350"/>
      <c r="AG80" s="349">
        <v>4.5003932435321516</v>
      </c>
      <c r="AH80" s="349"/>
      <c r="AI80" s="350">
        <v>142.70442862492308</v>
      </c>
      <c r="AJ80" s="350"/>
      <c r="AK80" s="349">
        <v>30.420302667032715</v>
      </c>
      <c r="AL80" s="349"/>
      <c r="AM80" s="350">
        <v>291.97511614763312</v>
      </c>
      <c r="AN80" s="350"/>
      <c r="AO80" s="349">
        <v>-42.342731722803329</v>
      </c>
      <c r="AP80" s="349"/>
      <c r="AQ80" s="350">
        <v>140.67945793967573</v>
      </c>
      <c r="AR80" s="350"/>
      <c r="AS80" s="349">
        <v>803.84284452340432</v>
      </c>
      <c r="AT80" s="349"/>
      <c r="AU80" s="350">
        <v>384.87084798903879</v>
      </c>
      <c r="AV80" s="350"/>
      <c r="AW80" s="351">
        <v>60.943445821022721</v>
      </c>
      <c r="AX80" s="351"/>
      <c r="AY80" s="350">
        <v>462.14684174547432</v>
      </c>
      <c r="AZ80" s="350"/>
      <c r="BA80" s="349">
        <v>466.36289636536213</v>
      </c>
      <c r="BB80" s="349"/>
      <c r="BC80" s="350">
        <v>233.82952612547624</v>
      </c>
      <c r="BD80" s="350"/>
      <c r="BE80" s="349">
        <v>70.696837912701469</v>
      </c>
      <c r="BF80" s="349"/>
      <c r="BG80" s="350">
        <v>-289.12375341726772</v>
      </c>
      <c r="BH80" s="350"/>
      <c r="BI80" s="349">
        <v>-71.039683840329403</v>
      </c>
      <c r="BJ80" s="349"/>
      <c r="BK80" s="350">
        <v>846.4198355498587</v>
      </c>
      <c r="BL80" s="350"/>
      <c r="BM80" s="349">
        <v>98.84831865056529</v>
      </c>
      <c r="BN80" s="349"/>
      <c r="BO80" s="350">
        <v>-358.56442097170509</v>
      </c>
      <c r="BP80" s="350"/>
      <c r="BQ80" s="349">
        <v>11.523479565732131</v>
      </c>
      <c r="BR80" s="349"/>
      <c r="BS80" s="350">
        <v>159.36631164746456</v>
      </c>
      <c r="BT80" s="350"/>
      <c r="BU80" s="349">
        <v>303.59707801227694</v>
      </c>
      <c r="BV80" s="349"/>
      <c r="BW80" s="350">
        <v>-172.27593338786403</v>
      </c>
      <c r="BX80" s="350"/>
      <c r="BY80" s="349">
        <v>-140.62712746208427</v>
      </c>
      <c r="BZ80" s="349"/>
      <c r="CA80" s="350">
        <v>178.74246734248834</v>
      </c>
      <c r="CB80" s="350"/>
      <c r="CC80" s="349">
        <v>-112.69058672792529</v>
      </c>
      <c r="CD80" s="349"/>
      <c r="CE80" s="350">
        <v>587.57924808639189</v>
      </c>
      <c r="CF80" s="350"/>
      <c r="CG80" s="349">
        <v>205.49366230898221</v>
      </c>
      <c r="CH80" s="349"/>
      <c r="CI80" s="350">
        <v>192.57741726330306</v>
      </c>
      <c r="CJ80" s="350"/>
      <c r="CK80" s="349">
        <v>75.309405818483071</v>
      </c>
      <c r="CL80" s="349"/>
      <c r="CM80" s="350">
        <v>831.36535086998219</v>
      </c>
      <c r="CN80" s="350"/>
      <c r="CO80" s="349">
        <v>348.06198800301269</v>
      </c>
      <c r="CP80" s="349"/>
      <c r="CQ80" s="350">
        <v>424.39940945268881</v>
      </c>
      <c r="CR80" s="350"/>
      <c r="CS80" s="349">
        <v>503.40952156151582</v>
      </c>
      <c r="CT80" s="349"/>
      <c r="CU80" s="350">
        <v>505.74877460878378</v>
      </c>
      <c r="CV80" s="350"/>
      <c r="CW80" s="349">
        <v>168.75222949529885</v>
      </c>
      <c r="CX80" s="349"/>
      <c r="CY80" s="350">
        <v>667.41856279888225</v>
      </c>
      <c r="CZ80" s="350"/>
      <c r="DA80" s="349">
        <v>222.24709623809309</v>
      </c>
      <c r="DB80" s="349"/>
      <c r="DC80" s="350">
        <v>578.6667845269676</v>
      </c>
      <c r="DD80" s="350"/>
      <c r="DE80" s="349">
        <v>231.31189520459813</v>
      </c>
      <c r="DF80" s="349"/>
      <c r="DG80" s="350">
        <v>719.90982075398995</v>
      </c>
      <c r="DH80" s="350"/>
      <c r="DI80" s="349">
        <v>281.63367151924132</v>
      </c>
      <c r="DJ80" s="349"/>
      <c r="DK80" s="350">
        <v>-261.95162884069822</v>
      </c>
      <c r="DL80" s="350"/>
      <c r="DM80" s="349">
        <v>159.11841645500797</v>
      </c>
      <c r="DN80" s="349"/>
      <c r="DO80" s="350">
        <v>527.88858540882279</v>
      </c>
      <c r="DP80" s="350"/>
    </row>
    <row r="81" spans="1:120" ht="15" customHeight="1" x14ac:dyDescent="0.2">
      <c r="A81" s="284"/>
      <c r="H81" s="347" t="s">
        <v>621</v>
      </c>
      <c r="I81" s="349"/>
      <c r="J81" s="349"/>
      <c r="K81" s="350"/>
      <c r="L81" s="350"/>
      <c r="M81" s="349"/>
      <c r="N81" s="349"/>
      <c r="O81" s="350"/>
      <c r="P81" s="350"/>
      <c r="Q81" s="349"/>
      <c r="R81" s="349"/>
      <c r="S81" s="350"/>
      <c r="T81" s="350"/>
      <c r="U81" s="349"/>
      <c r="V81" s="349"/>
      <c r="W81" s="350"/>
      <c r="X81" s="350"/>
      <c r="Y81" s="349"/>
      <c r="Z81" s="349"/>
      <c r="AA81" s="350"/>
      <c r="AB81" s="350"/>
      <c r="AC81" s="349"/>
      <c r="AD81" s="349"/>
      <c r="AE81" s="350"/>
      <c r="AF81" s="350"/>
      <c r="AG81" s="349"/>
      <c r="AH81" s="349"/>
      <c r="AI81" s="350"/>
      <c r="AJ81" s="350"/>
      <c r="AK81" s="349"/>
      <c r="AL81" s="349"/>
      <c r="AM81" s="350"/>
      <c r="AN81" s="350"/>
      <c r="AO81" s="349"/>
      <c r="AP81" s="349"/>
      <c r="AQ81" s="350"/>
      <c r="AR81" s="350"/>
      <c r="AS81" s="349"/>
      <c r="AT81" s="349"/>
      <c r="AU81" s="350"/>
      <c r="AV81" s="350"/>
      <c r="AW81" s="351"/>
      <c r="AX81" s="351"/>
      <c r="AY81" s="350"/>
      <c r="AZ81" s="350"/>
      <c r="BA81" s="349"/>
      <c r="BB81" s="349"/>
      <c r="BC81" s="350"/>
      <c r="BD81" s="350"/>
      <c r="BE81" s="349"/>
      <c r="BF81" s="349"/>
      <c r="BG81" s="350"/>
      <c r="BH81" s="350"/>
      <c r="BI81" s="349"/>
      <c r="BJ81" s="349"/>
      <c r="BK81" s="350"/>
      <c r="BL81" s="350"/>
      <c r="BM81" s="349"/>
      <c r="BN81" s="349"/>
      <c r="BO81" s="350"/>
      <c r="BP81" s="350"/>
      <c r="BQ81" s="349"/>
      <c r="BR81" s="349"/>
      <c r="BS81" s="350"/>
      <c r="BT81" s="350"/>
      <c r="BU81" s="349"/>
      <c r="BV81" s="349"/>
      <c r="BW81" s="350"/>
      <c r="BX81" s="350"/>
      <c r="BY81" s="349"/>
      <c r="BZ81" s="349"/>
      <c r="CA81" s="350"/>
      <c r="CB81" s="350"/>
      <c r="CC81" s="349"/>
      <c r="CD81" s="349"/>
      <c r="CE81" s="350"/>
      <c r="CF81" s="350"/>
      <c r="CG81" s="349"/>
      <c r="CH81" s="349"/>
      <c r="CI81" s="350"/>
      <c r="CJ81" s="350"/>
      <c r="CK81" s="349">
        <v>0</v>
      </c>
      <c r="CL81" s="349"/>
      <c r="CM81" s="350">
        <v>0</v>
      </c>
      <c r="CN81" s="350"/>
      <c r="CO81" s="349">
        <v>0</v>
      </c>
      <c r="CP81" s="349"/>
      <c r="CQ81" s="350">
        <v>0</v>
      </c>
      <c r="CR81" s="350"/>
      <c r="CS81" s="349">
        <v>340.83244000000002</v>
      </c>
      <c r="CT81" s="349"/>
      <c r="CU81" s="350">
        <v>0</v>
      </c>
      <c r="CV81" s="350"/>
      <c r="CW81" s="349">
        <v>0</v>
      </c>
      <c r="CX81" s="349"/>
      <c r="CY81" s="350">
        <v>339.99423999999999</v>
      </c>
      <c r="CZ81" s="350"/>
      <c r="DA81" s="349">
        <v>0</v>
      </c>
      <c r="DB81" s="349"/>
      <c r="DC81" s="350">
        <v>334.67547999999999</v>
      </c>
      <c r="DD81" s="350"/>
      <c r="DE81" s="349">
        <v>0</v>
      </c>
      <c r="DF81" s="349"/>
      <c r="DG81" s="350">
        <v>0</v>
      </c>
      <c r="DH81" s="350"/>
      <c r="DI81" s="349">
        <v>334.60435999999999</v>
      </c>
      <c r="DJ81" s="349"/>
      <c r="DK81" s="350">
        <v>0</v>
      </c>
      <c r="DL81" s="350"/>
      <c r="DM81" s="349">
        <v>349.63607999999999</v>
      </c>
      <c r="DN81" s="349"/>
      <c r="DO81" s="350">
        <v>206.36710500000001</v>
      </c>
      <c r="DP81" s="350"/>
    </row>
    <row r="82" spans="1:120" ht="15" customHeight="1" x14ac:dyDescent="0.2">
      <c r="H82" s="361" t="s">
        <v>625</v>
      </c>
      <c r="I82" s="349"/>
      <c r="J82" s="349"/>
      <c r="K82" s="350"/>
      <c r="L82" s="350"/>
      <c r="M82" s="349"/>
      <c r="N82" s="349"/>
      <c r="O82" s="350"/>
      <c r="P82" s="350"/>
      <c r="Q82" s="349"/>
      <c r="R82" s="349"/>
      <c r="S82" s="350"/>
      <c r="T82" s="350"/>
      <c r="U82" s="349"/>
      <c r="V82" s="349"/>
      <c r="W82" s="350"/>
      <c r="X82" s="350"/>
      <c r="Y82" s="349"/>
      <c r="Z82" s="349"/>
      <c r="AA82" s="350"/>
      <c r="AB82" s="350"/>
      <c r="AC82" s="349"/>
      <c r="AD82" s="349"/>
      <c r="AE82" s="350"/>
      <c r="AF82" s="350"/>
      <c r="AG82" s="349"/>
      <c r="AH82" s="349"/>
      <c r="AI82" s="350"/>
      <c r="AJ82" s="350"/>
      <c r="AK82" s="349"/>
      <c r="AL82" s="349"/>
      <c r="AM82" s="350"/>
      <c r="AN82" s="350"/>
      <c r="AO82" s="349"/>
      <c r="AP82" s="349"/>
      <c r="AQ82" s="350"/>
      <c r="AR82" s="350"/>
      <c r="AS82" s="349"/>
      <c r="AT82" s="349"/>
      <c r="AU82" s="350"/>
      <c r="AV82" s="350"/>
      <c r="AW82" s="351"/>
      <c r="AX82" s="351"/>
      <c r="AY82" s="350"/>
      <c r="AZ82" s="350"/>
      <c r="BA82" s="349"/>
      <c r="BB82" s="349"/>
      <c r="BC82" s="350"/>
      <c r="BD82" s="350"/>
      <c r="BE82" s="349"/>
      <c r="BF82" s="349"/>
      <c r="BG82" s="350"/>
      <c r="BH82" s="350"/>
      <c r="BI82" s="349"/>
      <c r="BJ82" s="349"/>
      <c r="BK82" s="350"/>
      <c r="BL82" s="350"/>
      <c r="BM82" s="349"/>
      <c r="BN82" s="349"/>
      <c r="BO82" s="350"/>
      <c r="BP82" s="350"/>
      <c r="BQ82" s="349"/>
      <c r="BR82" s="349"/>
      <c r="BS82" s="350"/>
      <c r="BT82" s="350"/>
      <c r="BU82" s="349"/>
      <c r="BV82" s="349"/>
      <c r="BW82" s="350"/>
      <c r="BX82" s="350"/>
      <c r="BY82" s="349"/>
      <c r="BZ82" s="349"/>
      <c r="CA82" s="350"/>
      <c r="CB82" s="350"/>
      <c r="CC82" s="349">
        <v>359.78857867141494</v>
      </c>
      <c r="CD82" s="349"/>
      <c r="CE82" s="350">
        <v>846.05942492093595</v>
      </c>
      <c r="CF82" s="350"/>
      <c r="CG82" s="349">
        <v>786.04408849376352</v>
      </c>
      <c r="CH82" s="349"/>
      <c r="CI82" s="350">
        <v>551.81692092495086</v>
      </c>
      <c r="CJ82" s="350"/>
      <c r="CK82" s="349">
        <v>577.47792609221415</v>
      </c>
      <c r="CL82" s="349"/>
      <c r="CM82" s="350">
        <v>968.16739057764948</v>
      </c>
      <c r="CN82" s="350"/>
      <c r="CO82" s="349">
        <v>379.1131277285287</v>
      </c>
      <c r="CP82" s="349"/>
      <c r="CQ82" s="350">
        <v>465.99211467160796</v>
      </c>
      <c r="CR82" s="350"/>
      <c r="CS82" s="349">
        <v>270.50569591147644</v>
      </c>
      <c r="CT82" s="349"/>
      <c r="CU82" s="350">
        <v>739.16449425301334</v>
      </c>
      <c r="CV82" s="350"/>
      <c r="CW82" s="349">
        <v>147.75707256677973</v>
      </c>
      <c r="CX82" s="349"/>
      <c r="CY82" s="350">
        <v>664.47187565961406</v>
      </c>
      <c r="CZ82" s="350"/>
      <c r="DA82" s="349">
        <v>130.01601469855879</v>
      </c>
      <c r="DB82" s="349"/>
      <c r="DC82" s="350">
        <v>322.07487570206985</v>
      </c>
      <c r="DD82" s="350"/>
      <c r="DE82" s="349">
        <v>274.16511901696447</v>
      </c>
      <c r="DF82" s="349"/>
      <c r="DG82" s="350">
        <v>825.59986968411795</v>
      </c>
      <c r="DH82" s="350"/>
      <c r="DI82" s="349">
        <v>95.309846724116028</v>
      </c>
      <c r="DJ82" s="349"/>
      <c r="DK82" s="350">
        <v>126.22023855109919</v>
      </c>
      <c r="DL82" s="350"/>
      <c r="DM82" s="349">
        <v>100.14971172361713</v>
      </c>
      <c r="DN82" s="349"/>
      <c r="DO82" s="350">
        <v>571.14558012839393</v>
      </c>
      <c r="DP82" s="350"/>
    </row>
    <row r="83" spans="1:120" ht="15" customHeight="1" x14ac:dyDescent="0.2">
      <c r="H83" s="361" t="s">
        <v>626</v>
      </c>
      <c r="I83" s="349"/>
      <c r="J83" s="349"/>
      <c r="K83" s="350"/>
      <c r="L83" s="350"/>
      <c r="M83" s="349"/>
      <c r="N83" s="349"/>
      <c r="O83" s="350"/>
      <c r="P83" s="350"/>
      <c r="Q83" s="349"/>
      <c r="R83" s="349"/>
      <c r="S83" s="350"/>
      <c r="T83" s="350"/>
      <c r="U83" s="349"/>
      <c r="V83" s="349"/>
      <c r="W83" s="350"/>
      <c r="X83" s="350"/>
      <c r="Y83" s="349"/>
      <c r="Z83" s="349"/>
      <c r="AA83" s="350"/>
      <c r="AB83" s="350"/>
      <c r="AC83" s="349"/>
      <c r="AD83" s="349"/>
      <c r="AE83" s="350"/>
      <c r="AF83" s="350"/>
      <c r="AG83" s="349"/>
      <c r="AH83" s="349"/>
      <c r="AI83" s="350"/>
      <c r="AJ83" s="350"/>
      <c r="AK83" s="349"/>
      <c r="AL83" s="349"/>
      <c r="AM83" s="350"/>
      <c r="AN83" s="350"/>
      <c r="AO83" s="349"/>
      <c r="AP83" s="349"/>
      <c r="AQ83" s="350"/>
      <c r="AR83" s="350"/>
      <c r="AS83" s="349"/>
      <c r="AT83" s="349"/>
      <c r="AU83" s="350"/>
      <c r="AV83" s="350"/>
      <c r="AW83" s="351"/>
      <c r="AX83" s="351"/>
      <c r="AY83" s="350"/>
      <c r="AZ83" s="350"/>
      <c r="BA83" s="349"/>
      <c r="BB83" s="349"/>
      <c r="BC83" s="350"/>
      <c r="BD83" s="350"/>
      <c r="BE83" s="349"/>
      <c r="BF83" s="349"/>
      <c r="BG83" s="350"/>
      <c r="BH83" s="350"/>
      <c r="BI83" s="349"/>
      <c r="BJ83" s="349"/>
      <c r="BK83" s="350"/>
      <c r="BL83" s="350"/>
      <c r="BM83" s="349"/>
      <c r="BN83" s="349"/>
      <c r="BO83" s="350"/>
      <c r="BP83" s="350"/>
      <c r="BQ83" s="349"/>
      <c r="BR83" s="349"/>
      <c r="BS83" s="350"/>
      <c r="BT83" s="350"/>
      <c r="BU83" s="349"/>
      <c r="BV83" s="349"/>
      <c r="BW83" s="350"/>
      <c r="BX83" s="350"/>
      <c r="BY83" s="349"/>
      <c r="BZ83" s="349"/>
      <c r="CA83" s="350"/>
      <c r="CB83" s="350"/>
      <c r="CC83" s="349"/>
      <c r="CD83" s="349"/>
      <c r="CE83" s="350"/>
      <c r="CF83" s="350"/>
      <c r="CG83" s="349"/>
      <c r="CH83" s="349"/>
      <c r="CI83" s="350"/>
      <c r="CJ83" s="350"/>
      <c r="CK83" s="349">
        <v>0</v>
      </c>
      <c r="CL83" s="349"/>
      <c r="CM83" s="350">
        <v>11.243746237665365</v>
      </c>
      <c r="CN83" s="350"/>
      <c r="CO83" s="349">
        <v>85.085488847935153</v>
      </c>
      <c r="CP83" s="349"/>
      <c r="CQ83" s="350">
        <v>36.782569321126772</v>
      </c>
      <c r="CR83" s="350"/>
      <c r="CS83" s="349">
        <v>129.22808352194426</v>
      </c>
      <c r="CT83" s="349"/>
      <c r="CU83" s="350">
        <v>56.583462647464984</v>
      </c>
      <c r="CV83" s="350"/>
      <c r="CW83" s="349">
        <v>133.95830945558703</v>
      </c>
      <c r="CX83" s="349"/>
      <c r="CY83" s="350">
        <v>64.106591178435863</v>
      </c>
      <c r="CZ83" s="350"/>
      <c r="DA83" s="349">
        <v>216.64089203921111</v>
      </c>
      <c r="DB83" s="349"/>
      <c r="DC83" s="350">
        <v>75.658461480314614</v>
      </c>
      <c r="DD83" s="350"/>
      <c r="DE83" s="349">
        <v>91.352506247923259</v>
      </c>
      <c r="DF83" s="349"/>
      <c r="DG83" s="350">
        <v>71.064152987124331</v>
      </c>
      <c r="DH83" s="350"/>
      <c r="DI83" s="349">
        <v>0</v>
      </c>
      <c r="DJ83" s="349"/>
      <c r="DK83" s="350">
        <v>0</v>
      </c>
      <c r="DL83" s="350"/>
      <c r="DM83" s="349">
        <v>0</v>
      </c>
      <c r="DN83" s="349"/>
      <c r="DO83" s="350">
        <v>0</v>
      </c>
      <c r="DP83" s="350"/>
    </row>
    <row r="84" spans="1:120" ht="15" customHeight="1" x14ac:dyDescent="0.2">
      <c r="H84" s="361" t="s">
        <v>627</v>
      </c>
      <c r="I84" s="349"/>
      <c r="J84" s="349"/>
      <c r="K84" s="350"/>
      <c r="L84" s="350"/>
      <c r="M84" s="349"/>
      <c r="N84" s="349"/>
      <c r="O84" s="350"/>
      <c r="P84" s="350"/>
      <c r="Q84" s="349"/>
      <c r="R84" s="349"/>
      <c r="S84" s="350"/>
      <c r="T84" s="350"/>
      <c r="U84" s="349"/>
      <c r="V84" s="349"/>
      <c r="W84" s="350"/>
      <c r="X84" s="350"/>
      <c r="Y84" s="349"/>
      <c r="Z84" s="349"/>
      <c r="AA84" s="350"/>
      <c r="AB84" s="350"/>
      <c r="AC84" s="349"/>
      <c r="AD84" s="349"/>
      <c r="AE84" s="350"/>
      <c r="AF84" s="350"/>
      <c r="AG84" s="349"/>
      <c r="AH84" s="349"/>
      <c r="AI84" s="350"/>
      <c r="AJ84" s="350"/>
      <c r="AK84" s="349"/>
      <c r="AL84" s="349"/>
      <c r="AM84" s="350"/>
      <c r="AN84" s="350"/>
      <c r="AO84" s="349"/>
      <c r="AP84" s="349"/>
      <c r="AQ84" s="350"/>
      <c r="AR84" s="350"/>
      <c r="AS84" s="349"/>
      <c r="AT84" s="349"/>
      <c r="AU84" s="350"/>
      <c r="AV84" s="350"/>
      <c r="AW84" s="351"/>
      <c r="AX84" s="351"/>
      <c r="AY84" s="350"/>
      <c r="AZ84" s="350"/>
      <c r="BA84" s="349"/>
      <c r="BB84" s="349"/>
      <c r="BC84" s="350"/>
      <c r="BD84" s="350"/>
      <c r="BE84" s="349"/>
      <c r="BF84" s="349"/>
      <c r="BG84" s="350"/>
      <c r="BH84" s="350"/>
      <c r="BI84" s="349"/>
      <c r="BJ84" s="349"/>
      <c r="BK84" s="350"/>
      <c r="BL84" s="350"/>
      <c r="BM84" s="349"/>
      <c r="BN84" s="349"/>
      <c r="BO84" s="350"/>
      <c r="BP84" s="350"/>
      <c r="BQ84" s="349"/>
      <c r="BR84" s="349"/>
      <c r="BS84" s="350"/>
      <c r="BT84" s="350"/>
      <c r="BU84" s="349"/>
      <c r="BV84" s="349"/>
      <c r="BW84" s="350"/>
      <c r="BX84" s="350"/>
      <c r="BY84" s="349"/>
      <c r="BZ84" s="349"/>
      <c r="CA84" s="350"/>
      <c r="CB84" s="350"/>
      <c r="CC84" s="349">
        <v>-472.47916539934022</v>
      </c>
      <c r="CD84" s="349"/>
      <c r="CE84" s="350">
        <v>-258.48017683454418</v>
      </c>
      <c r="CF84" s="350"/>
      <c r="CG84" s="349">
        <v>-580.55042618478137</v>
      </c>
      <c r="CH84" s="349"/>
      <c r="CI84" s="350">
        <v>-359.23950366164775</v>
      </c>
      <c r="CJ84" s="350"/>
      <c r="CK84" s="349">
        <v>-502.16852027373108</v>
      </c>
      <c r="CL84" s="349"/>
      <c r="CM84" s="350">
        <v>-148.04578594533257</v>
      </c>
      <c r="CN84" s="350"/>
      <c r="CO84" s="349">
        <v>-116.13662857345119</v>
      </c>
      <c r="CP84" s="349"/>
      <c r="CQ84" s="350">
        <v>-78.375274540045908</v>
      </c>
      <c r="CR84" s="350"/>
      <c r="CS84" s="349">
        <v>-237.15669787190492</v>
      </c>
      <c r="CT84" s="349"/>
      <c r="CU84" s="350">
        <v>-289.99918229169441</v>
      </c>
      <c r="CV84" s="350"/>
      <c r="CW84" s="349">
        <v>-112.96315252706793</v>
      </c>
      <c r="CX84" s="349"/>
      <c r="CY84" s="350">
        <v>-401.15414403916765</v>
      </c>
      <c r="CZ84" s="350"/>
      <c r="DA84" s="349">
        <v>-124.40981049967682</v>
      </c>
      <c r="DB84" s="349"/>
      <c r="DC84" s="350">
        <v>-153.74203265541689</v>
      </c>
      <c r="DD84" s="350"/>
      <c r="DE84" s="349">
        <v>-134.20573006028957</v>
      </c>
      <c r="DF84" s="349"/>
      <c r="DG84" s="350">
        <v>-176.75420191725237</v>
      </c>
      <c r="DH84" s="350"/>
      <c r="DI84" s="349">
        <v>-148.2805352048747</v>
      </c>
      <c r="DJ84" s="349"/>
      <c r="DK84" s="350">
        <v>-388.17186739179738</v>
      </c>
      <c r="DL84" s="350"/>
      <c r="DM84" s="349">
        <v>-290.66737526860913</v>
      </c>
      <c r="DN84" s="349"/>
      <c r="DO84" s="350">
        <v>-249.62409971957123</v>
      </c>
      <c r="DP84" s="350"/>
    </row>
    <row r="85" spans="1:120" ht="15" customHeight="1" x14ac:dyDescent="0.2">
      <c r="F85" s="347" t="s">
        <v>618</v>
      </c>
      <c r="I85" s="349">
        <v>76.442305310427287</v>
      </c>
      <c r="J85" s="349">
        <v>0</v>
      </c>
      <c r="K85" s="350">
        <v>31.695934452180694</v>
      </c>
      <c r="L85" s="350">
        <v>0</v>
      </c>
      <c r="M85" s="349">
        <v>181.68342907066648</v>
      </c>
      <c r="N85" s="349">
        <v>0</v>
      </c>
      <c r="O85" s="350">
        <v>429.05902443953164</v>
      </c>
      <c r="P85" s="350">
        <v>0</v>
      </c>
      <c r="Q85" s="349">
        <v>167.11548920870956</v>
      </c>
      <c r="R85" s="349">
        <v>0</v>
      </c>
      <c r="S85" s="350">
        <v>165.60357440672976</v>
      </c>
      <c r="T85" s="350">
        <v>0</v>
      </c>
      <c r="U85" s="349">
        <v>69.224412774637386</v>
      </c>
      <c r="V85" s="349">
        <v>0</v>
      </c>
      <c r="W85" s="350">
        <v>203.28405062889553</v>
      </c>
      <c r="X85" s="350">
        <v>0</v>
      </c>
      <c r="Y85" s="349">
        <v>227.94859890572639</v>
      </c>
      <c r="Z85" s="349">
        <v>0</v>
      </c>
      <c r="AA85" s="350">
        <v>122.37248423211045</v>
      </c>
      <c r="AB85" s="350">
        <v>0</v>
      </c>
      <c r="AC85" s="349">
        <v>41.360465664449521</v>
      </c>
      <c r="AD85" s="349">
        <v>0</v>
      </c>
      <c r="AE85" s="350">
        <v>36.980048663337847</v>
      </c>
      <c r="AF85" s="350">
        <v>0</v>
      </c>
      <c r="AG85" s="349">
        <v>82.279853556429657</v>
      </c>
      <c r="AH85" s="349">
        <v>0</v>
      </c>
      <c r="AI85" s="350">
        <v>-28.447764830727913</v>
      </c>
      <c r="AJ85" s="350">
        <v>0</v>
      </c>
      <c r="AK85" s="349">
        <v>-21.885935001553246</v>
      </c>
      <c r="AL85" s="349">
        <v>0</v>
      </c>
      <c r="AM85" s="350">
        <v>-23.343887084004891</v>
      </c>
      <c r="AN85" s="350">
        <v>0</v>
      </c>
      <c r="AO85" s="349">
        <v>313.58628243627442</v>
      </c>
      <c r="AP85" s="349">
        <v>0</v>
      </c>
      <c r="AQ85" s="350">
        <v>26.402033250942363</v>
      </c>
      <c r="AR85" s="350">
        <v>0</v>
      </c>
      <c r="AS85" s="349">
        <v>-42.804412199664469</v>
      </c>
      <c r="AT85" s="349">
        <v>0</v>
      </c>
      <c r="AU85" s="350">
        <v>-160.93099555316684</v>
      </c>
      <c r="AV85" s="350">
        <v>0</v>
      </c>
      <c r="AW85" s="351">
        <v>-71.125569328534084</v>
      </c>
      <c r="AX85" s="351">
        <v>0</v>
      </c>
      <c r="AY85" s="350">
        <v>263.09897527003147</v>
      </c>
      <c r="AZ85" s="350">
        <v>0</v>
      </c>
      <c r="BA85" s="349">
        <v>31.536758342062537</v>
      </c>
      <c r="BB85" s="349">
        <v>0</v>
      </c>
      <c r="BC85" s="350">
        <v>-12.562123189221666</v>
      </c>
      <c r="BD85" s="350">
        <v>0</v>
      </c>
      <c r="BE85" s="349">
        <v>-47.973605792233577</v>
      </c>
      <c r="BF85" s="349">
        <v>0</v>
      </c>
      <c r="BG85" s="350">
        <v>20.801198306925599</v>
      </c>
      <c r="BH85" s="350">
        <v>0</v>
      </c>
      <c r="BI85" s="349">
        <v>14.281917757178519</v>
      </c>
      <c r="BJ85" s="349">
        <v>0</v>
      </c>
      <c r="BK85" s="350">
        <v>126.72899981842713</v>
      </c>
      <c r="BL85" s="350">
        <v>0</v>
      </c>
      <c r="BM85" s="349">
        <v>-26.912969234652081</v>
      </c>
      <c r="BN85" s="349">
        <v>0</v>
      </c>
      <c r="BO85" s="350">
        <v>-20.40239152522453</v>
      </c>
      <c r="BP85" s="350">
        <v>0</v>
      </c>
      <c r="BQ85" s="349">
        <v>-10.957615133555166</v>
      </c>
      <c r="BR85" s="349">
        <v>0</v>
      </c>
      <c r="BS85" s="350">
        <v>-144.32209703643565</v>
      </c>
      <c r="BT85" s="350">
        <v>0</v>
      </c>
      <c r="BU85" s="349">
        <v>-136.22389245160426</v>
      </c>
      <c r="BV85" s="349">
        <v>0</v>
      </c>
      <c r="BW85" s="350">
        <v>-26.091304998631372</v>
      </c>
      <c r="BX85" s="350">
        <v>0</v>
      </c>
      <c r="BY85" s="349">
        <v>14.780872794850218</v>
      </c>
      <c r="BZ85" s="349">
        <v>0</v>
      </c>
      <c r="CA85" s="350">
        <v>91.347270672396249</v>
      </c>
      <c r="CB85" s="350">
        <v>0</v>
      </c>
      <c r="CC85" s="349">
        <v>-66.724764980903842</v>
      </c>
      <c r="CD85" s="349">
        <v>0</v>
      </c>
      <c r="CE85" s="350">
        <v>-43.636346073165633</v>
      </c>
      <c r="CF85" s="350">
        <v>0</v>
      </c>
      <c r="CG85" s="349">
        <v>-46.619288268709177</v>
      </c>
      <c r="CH85" s="349">
        <v>0</v>
      </c>
      <c r="CI85" s="350">
        <v>-10.15314262788549</v>
      </c>
      <c r="CJ85" s="350">
        <v>0</v>
      </c>
      <c r="CK85" s="349">
        <v>-77.213033610185846</v>
      </c>
      <c r="CL85" s="349">
        <v>0</v>
      </c>
      <c r="CM85" s="350">
        <v>-1.4009270611293403</v>
      </c>
      <c r="CN85" s="350">
        <v>0</v>
      </c>
      <c r="CO85" s="349">
        <v>78.176373692810728</v>
      </c>
      <c r="CP85" s="349">
        <v>0</v>
      </c>
      <c r="CQ85" s="350">
        <v>9.4194032068600926</v>
      </c>
      <c r="CR85" s="350">
        <v>0</v>
      </c>
      <c r="CS85" s="349">
        <v>7.7741071035493938</v>
      </c>
      <c r="CT85" s="349">
        <v>0</v>
      </c>
      <c r="CU85" s="350">
        <v>-101.97767864645064</v>
      </c>
      <c r="CV85" s="350">
        <v>0</v>
      </c>
      <c r="CW85" s="349">
        <v>-81.454542446450603</v>
      </c>
      <c r="CX85" s="349">
        <v>0</v>
      </c>
      <c r="CY85" s="350">
        <v>-101.93620165645073</v>
      </c>
      <c r="CZ85" s="350">
        <v>0</v>
      </c>
      <c r="DA85" s="349">
        <v>-306.57942828643911</v>
      </c>
      <c r="DB85" s="349">
        <v>0</v>
      </c>
      <c r="DC85" s="350">
        <v>-80.998314656439177</v>
      </c>
      <c r="DD85" s="350">
        <v>0</v>
      </c>
      <c r="DE85" s="349">
        <v>-81.039815326438998</v>
      </c>
      <c r="DF85" s="349">
        <v>0</v>
      </c>
      <c r="DG85" s="350">
        <v>-106.55307893643915</v>
      </c>
      <c r="DH85" s="350">
        <v>0</v>
      </c>
      <c r="DI85" s="349">
        <v>70.934727564037473</v>
      </c>
      <c r="DJ85" s="349">
        <v>0</v>
      </c>
      <c r="DK85" s="350">
        <v>-165.22699697557374</v>
      </c>
      <c r="DL85" s="350">
        <v>0</v>
      </c>
      <c r="DM85" s="349">
        <v>-148.95325469855578</v>
      </c>
      <c r="DN85" s="349">
        <v>0</v>
      </c>
      <c r="DO85" s="350">
        <v>60.181301641444463</v>
      </c>
      <c r="DP85" s="350">
        <v>0</v>
      </c>
    </row>
    <row r="86" spans="1:120" ht="15" customHeight="1" x14ac:dyDescent="0.2">
      <c r="G86" s="347" t="s">
        <v>614</v>
      </c>
      <c r="I86" s="349">
        <v>0</v>
      </c>
      <c r="J86" s="349"/>
      <c r="K86" s="350">
        <v>0</v>
      </c>
      <c r="L86" s="350"/>
      <c r="M86" s="349">
        <v>0</v>
      </c>
      <c r="N86" s="349"/>
      <c r="O86" s="350">
        <v>0</v>
      </c>
      <c r="P86" s="350"/>
      <c r="Q86" s="349">
        <v>0</v>
      </c>
      <c r="R86" s="349"/>
      <c r="S86" s="350">
        <v>0</v>
      </c>
      <c r="T86" s="350"/>
      <c r="U86" s="349">
        <v>0</v>
      </c>
      <c r="V86" s="349"/>
      <c r="W86" s="350">
        <v>0</v>
      </c>
      <c r="X86" s="350"/>
      <c r="Y86" s="349">
        <v>0</v>
      </c>
      <c r="Z86" s="349"/>
      <c r="AA86" s="350">
        <v>0</v>
      </c>
      <c r="AB86" s="350"/>
      <c r="AC86" s="349">
        <v>0</v>
      </c>
      <c r="AD86" s="349"/>
      <c r="AE86" s="350">
        <v>0</v>
      </c>
      <c r="AF86" s="350"/>
      <c r="AG86" s="349">
        <v>0</v>
      </c>
      <c r="AH86" s="349"/>
      <c r="AI86" s="350">
        <v>0</v>
      </c>
      <c r="AJ86" s="350"/>
      <c r="AK86" s="349">
        <v>0</v>
      </c>
      <c r="AL86" s="349"/>
      <c r="AM86" s="350">
        <v>0</v>
      </c>
      <c r="AN86" s="350"/>
      <c r="AO86" s="349">
        <v>0</v>
      </c>
      <c r="AP86" s="349"/>
      <c r="AQ86" s="350">
        <v>0</v>
      </c>
      <c r="AR86" s="350"/>
      <c r="AS86" s="349">
        <v>0</v>
      </c>
      <c r="AT86" s="349"/>
      <c r="AU86" s="350">
        <v>0</v>
      </c>
      <c r="AV86" s="350"/>
      <c r="AW86" s="351">
        <v>0</v>
      </c>
      <c r="AX86" s="351"/>
      <c r="AY86" s="350">
        <v>0</v>
      </c>
      <c r="AZ86" s="350"/>
      <c r="BA86" s="349">
        <v>0</v>
      </c>
      <c r="BB86" s="349"/>
      <c r="BC86" s="350">
        <v>0</v>
      </c>
      <c r="BD86" s="350"/>
      <c r="BE86" s="349">
        <v>0</v>
      </c>
      <c r="BF86" s="349"/>
      <c r="BG86" s="350">
        <v>0</v>
      </c>
      <c r="BH86" s="350"/>
      <c r="BI86" s="349">
        <v>0</v>
      </c>
      <c r="BJ86" s="349"/>
      <c r="BK86" s="350">
        <v>0</v>
      </c>
      <c r="BL86" s="350"/>
      <c r="BM86" s="349">
        <v>0</v>
      </c>
      <c r="BN86" s="349"/>
      <c r="BO86" s="350">
        <v>0</v>
      </c>
      <c r="BP86" s="350"/>
      <c r="BQ86" s="349">
        <v>0</v>
      </c>
      <c r="BR86" s="349"/>
      <c r="BS86" s="350">
        <v>0</v>
      </c>
      <c r="BT86" s="350"/>
      <c r="BU86" s="349">
        <v>0</v>
      </c>
      <c r="BV86" s="349"/>
      <c r="BW86" s="350">
        <v>0</v>
      </c>
      <c r="BX86" s="350"/>
      <c r="BY86" s="349">
        <v>0</v>
      </c>
      <c r="BZ86" s="349"/>
      <c r="CA86" s="350">
        <v>0</v>
      </c>
      <c r="CB86" s="350"/>
      <c r="CC86" s="349">
        <v>0</v>
      </c>
      <c r="CD86" s="349"/>
      <c r="CE86" s="350">
        <v>0</v>
      </c>
      <c r="CF86" s="350"/>
      <c r="CG86" s="349">
        <v>0</v>
      </c>
      <c r="CH86" s="349"/>
      <c r="CI86" s="350">
        <v>0</v>
      </c>
      <c r="CJ86" s="350"/>
      <c r="CK86" s="349">
        <v>0</v>
      </c>
      <c r="CL86" s="349"/>
      <c r="CM86" s="350">
        <v>0</v>
      </c>
      <c r="CN86" s="350"/>
      <c r="CO86" s="349">
        <v>0</v>
      </c>
      <c r="CP86" s="349"/>
      <c r="CQ86" s="350">
        <v>0</v>
      </c>
      <c r="CR86" s="350"/>
      <c r="CS86" s="349">
        <v>0</v>
      </c>
      <c r="CT86" s="349"/>
      <c r="CU86" s="350">
        <v>0</v>
      </c>
      <c r="CV86" s="350"/>
      <c r="CW86" s="349">
        <v>0</v>
      </c>
      <c r="CX86" s="349"/>
      <c r="CY86" s="350">
        <v>0</v>
      </c>
      <c r="CZ86" s="350"/>
      <c r="DA86" s="349">
        <v>0</v>
      </c>
      <c r="DB86" s="349"/>
      <c r="DC86" s="350">
        <v>0</v>
      </c>
      <c r="DD86" s="350"/>
      <c r="DE86" s="349">
        <v>0</v>
      </c>
      <c r="DF86" s="349"/>
      <c r="DG86" s="350">
        <v>0</v>
      </c>
      <c r="DH86" s="350"/>
      <c r="DI86" s="349">
        <v>0</v>
      </c>
      <c r="DJ86" s="349"/>
      <c r="DK86" s="350">
        <v>0</v>
      </c>
      <c r="DL86" s="350"/>
      <c r="DM86" s="349">
        <v>0</v>
      </c>
      <c r="DN86" s="349"/>
      <c r="DO86" s="350">
        <v>0</v>
      </c>
      <c r="DP86" s="350"/>
    </row>
    <row r="87" spans="1:120" ht="15" customHeight="1" x14ac:dyDescent="0.2">
      <c r="G87" s="347" t="s">
        <v>615</v>
      </c>
      <c r="I87" s="349">
        <v>76.442305310427287</v>
      </c>
      <c r="J87" s="349"/>
      <c r="K87" s="350">
        <v>31.695934452180694</v>
      </c>
      <c r="L87" s="350"/>
      <c r="M87" s="349">
        <v>181.68342907066648</v>
      </c>
      <c r="N87" s="349"/>
      <c r="O87" s="350">
        <v>429.05902443953164</v>
      </c>
      <c r="P87" s="350"/>
      <c r="Q87" s="349">
        <v>167.11548920870956</v>
      </c>
      <c r="R87" s="349"/>
      <c r="S87" s="350">
        <v>165.60357440672976</v>
      </c>
      <c r="T87" s="350"/>
      <c r="U87" s="349">
        <v>69.224412774637386</v>
      </c>
      <c r="V87" s="349"/>
      <c r="W87" s="350">
        <v>203.28405062889553</v>
      </c>
      <c r="X87" s="350"/>
      <c r="Y87" s="349">
        <v>227.94859890572639</v>
      </c>
      <c r="Z87" s="349"/>
      <c r="AA87" s="350">
        <v>122.37248423211045</v>
      </c>
      <c r="AB87" s="350"/>
      <c r="AC87" s="349">
        <v>41.360465664449521</v>
      </c>
      <c r="AD87" s="349"/>
      <c r="AE87" s="350">
        <v>36.980048663337847</v>
      </c>
      <c r="AF87" s="350"/>
      <c r="AG87" s="349">
        <v>82.279853556429657</v>
      </c>
      <c r="AH87" s="349"/>
      <c r="AI87" s="350">
        <v>-28.447764830727913</v>
      </c>
      <c r="AJ87" s="350"/>
      <c r="AK87" s="349">
        <v>-21.885935001553246</v>
      </c>
      <c r="AL87" s="349"/>
      <c r="AM87" s="350">
        <v>-23.343887084004891</v>
      </c>
      <c r="AN87" s="350"/>
      <c r="AO87" s="349">
        <v>313.58628243627442</v>
      </c>
      <c r="AP87" s="349"/>
      <c r="AQ87" s="350">
        <v>26.402033250942363</v>
      </c>
      <c r="AR87" s="350"/>
      <c r="AS87" s="349">
        <v>-42.804412199664469</v>
      </c>
      <c r="AT87" s="349"/>
      <c r="AU87" s="350">
        <v>-160.93099555316684</v>
      </c>
      <c r="AV87" s="350"/>
      <c r="AW87" s="351">
        <v>-71.125569328534084</v>
      </c>
      <c r="AX87" s="351"/>
      <c r="AY87" s="350">
        <v>263.09897527003147</v>
      </c>
      <c r="AZ87" s="350"/>
      <c r="BA87" s="349">
        <v>31.536758342062537</v>
      </c>
      <c r="BB87" s="349"/>
      <c r="BC87" s="350">
        <v>-12.562123189221666</v>
      </c>
      <c r="BD87" s="350"/>
      <c r="BE87" s="349">
        <v>-47.973605792233577</v>
      </c>
      <c r="BF87" s="349"/>
      <c r="BG87" s="350">
        <v>20.801198306925599</v>
      </c>
      <c r="BH87" s="350"/>
      <c r="BI87" s="349">
        <v>14.281917757178519</v>
      </c>
      <c r="BJ87" s="349"/>
      <c r="BK87" s="350">
        <v>126.72899981842713</v>
      </c>
      <c r="BL87" s="350"/>
      <c r="BM87" s="349">
        <v>-26.912969234652081</v>
      </c>
      <c r="BN87" s="349"/>
      <c r="BO87" s="350">
        <v>-20.40239152522453</v>
      </c>
      <c r="BP87" s="350"/>
      <c r="BQ87" s="349">
        <v>-10.957615133555166</v>
      </c>
      <c r="BR87" s="349"/>
      <c r="BS87" s="350">
        <v>-144.32209703643565</v>
      </c>
      <c r="BT87" s="350"/>
      <c r="BU87" s="349">
        <v>-136.22389245160426</v>
      </c>
      <c r="BV87" s="349"/>
      <c r="BW87" s="350">
        <v>-26.091304998631372</v>
      </c>
      <c r="BX87" s="350"/>
      <c r="BY87" s="349">
        <v>14.780872794850218</v>
      </c>
      <c r="BZ87" s="349"/>
      <c r="CA87" s="350">
        <v>91.347270672396249</v>
      </c>
      <c r="CB87" s="350"/>
      <c r="CC87" s="349">
        <v>-66.724764980903842</v>
      </c>
      <c r="CD87" s="349"/>
      <c r="CE87" s="350">
        <v>-43.636346073165633</v>
      </c>
      <c r="CF87" s="350"/>
      <c r="CG87" s="349">
        <v>-46.619288268709177</v>
      </c>
      <c r="CH87" s="349"/>
      <c r="CI87" s="350">
        <v>-10.15314262788549</v>
      </c>
      <c r="CJ87" s="350"/>
      <c r="CK87" s="349">
        <v>-77.213033610185846</v>
      </c>
      <c r="CL87" s="349"/>
      <c r="CM87" s="350">
        <v>-1.4009270611293403</v>
      </c>
      <c r="CN87" s="350"/>
      <c r="CO87" s="349">
        <v>78.176373692810728</v>
      </c>
      <c r="CP87" s="349"/>
      <c r="CQ87" s="350">
        <v>9.4194032068600926</v>
      </c>
      <c r="CR87" s="350"/>
      <c r="CS87" s="349">
        <v>7.7741071035493938</v>
      </c>
      <c r="CT87" s="349"/>
      <c r="CU87" s="350">
        <v>-101.97767864645064</v>
      </c>
      <c r="CV87" s="350"/>
      <c r="CW87" s="349">
        <v>-81.454542446450603</v>
      </c>
      <c r="CX87" s="349"/>
      <c r="CY87" s="350">
        <v>-101.93620165645073</v>
      </c>
      <c r="CZ87" s="350"/>
      <c r="DA87" s="349">
        <v>-306.57942828643911</v>
      </c>
      <c r="DB87" s="349"/>
      <c r="DC87" s="350">
        <v>-80.998314656439177</v>
      </c>
      <c r="DD87" s="350"/>
      <c r="DE87" s="349">
        <v>-81.039815326438998</v>
      </c>
      <c r="DF87" s="349"/>
      <c r="DG87" s="350">
        <v>-106.55307893643915</v>
      </c>
      <c r="DH87" s="350"/>
      <c r="DI87" s="349">
        <v>70.934727564037473</v>
      </c>
      <c r="DJ87" s="349"/>
      <c r="DK87" s="350">
        <v>-165.22699697557374</v>
      </c>
      <c r="DL87" s="350"/>
      <c r="DM87" s="349">
        <v>-148.95325469855578</v>
      </c>
      <c r="DN87" s="349"/>
      <c r="DO87" s="350">
        <v>60.181301641444463</v>
      </c>
      <c r="DP87" s="350"/>
    </row>
    <row r="88" spans="1:120" ht="15" customHeight="1" x14ac:dyDescent="0.2">
      <c r="H88" s="348" t="s">
        <v>628</v>
      </c>
      <c r="I88" s="349"/>
      <c r="J88" s="349"/>
      <c r="K88" s="350"/>
      <c r="L88" s="350"/>
      <c r="M88" s="349"/>
      <c r="N88" s="349"/>
      <c r="O88" s="350"/>
      <c r="P88" s="350"/>
      <c r="Q88" s="349"/>
      <c r="R88" s="349"/>
      <c r="S88" s="350"/>
      <c r="T88" s="350"/>
      <c r="U88" s="349"/>
      <c r="V88" s="349"/>
      <c r="W88" s="350"/>
      <c r="X88" s="350"/>
      <c r="Y88" s="349"/>
      <c r="Z88" s="349"/>
      <c r="AA88" s="350"/>
      <c r="AB88" s="350"/>
      <c r="AC88" s="349"/>
      <c r="AD88" s="349"/>
      <c r="AE88" s="350"/>
      <c r="AF88" s="350"/>
      <c r="AG88" s="349"/>
      <c r="AH88" s="349"/>
      <c r="AI88" s="350"/>
      <c r="AJ88" s="350"/>
      <c r="AK88" s="349"/>
      <c r="AL88" s="349"/>
      <c r="AM88" s="350"/>
      <c r="AN88" s="350"/>
      <c r="AO88" s="349"/>
      <c r="AP88" s="349"/>
      <c r="AQ88" s="350"/>
      <c r="AR88" s="350"/>
      <c r="AS88" s="349"/>
      <c r="AT88" s="349"/>
      <c r="AU88" s="350"/>
      <c r="AV88" s="350"/>
      <c r="AW88" s="351"/>
      <c r="AX88" s="351"/>
      <c r="AY88" s="350"/>
      <c r="AZ88" s="350"/>
      <c r="BA88" s="349"/>
      <c r="BB88" s="349"/>
      <c r="BC88" s="350"/>
      <c r="BD88" s="350"/>
      <c r="BE88" s="349"/>
      <c r="BF88" s="349"/>
      <c r="BG88" s="350"/>
      <c r="BH88" s="350"/>
      <c r="BI88" s="349"/>
      <c r="BJ88" s="349"/>
      <c r="BK88" s="350"/>
      <c r="BL88" s="350"/>
      <c r="BM88" s="349"/>
      <c r="BN88" s="349"/>
      <c r="BO88" s="350"/>
      <c r="BP88" s="350"/>
      <c r="BQ88" s="349"/>
      <c r="BR88" s="349"/>
      <c r="BS88" s="350"/>
      <c r="BT88" s="350"/>
      <c r="BU88" s="349"/>
      <c r="BV88" s="349"/>
      <c r="BW88" s="350"/>
      <c r="BX88" s="350"/>
      <c r="BY88" s="349"/>
      <c r="BZ88" s="349"/>
      <c r="CA88" s="350"/>
      <c r="CB88" s="350"/>
      <c r="CC88" s="349">
        <v>73.828000000000003</v>
      </c>
      <c r="CD88" s="349"/>
      <c r="CE88" s="350">
        <v>22.021999999999998</v>
      </c>
      <c r="CF88" s="350"/>
      <c r="CG88" s="349">
        <v>33.564999999999998</v>
      </c>
      <c r="CH88" s="349"/>
      <c r="CI88" s="350">
        <v>57.284999999999997</v>
      </c>
      <c r="CJ88" s="350"/>
      <c r="CK88" s="349">
        <v>68.026687769999981</v>
      </c>
      <c r="CL88" s="349"/>
      <c r="CM88" s="350">
        <v>68.659000000000006</v>
      </c>
      <c r="CN88" s="350"/>
      <c r="CO88" s="349">
        <v>69.703000000000003</v>
      </c>
      <c r="CP88" s="349"/>
      <c r="CQ88" s="350">
        <v>125.352</v>
      </c>
      <c r="CR88" s="350"/>
      <c r="CS88" s="349">
        <v>100.21050738532523</v>
      </c>
      <c r="CT88" s="349"/>
      <c r="CU88" s="350">
        <v>52.413874035325193</v>
      </c>
      <c r="CV88" s="350"/>
      <c r="CW88" s="349">
        <v>63.283821545325267</v>
      </c>
      <c r="CX88" s="349"/>
      <c r="CY88" s="350">
        <v>66.424094545325218</v>
      </c>
      <c r="CZ88" s="350"/>
      <c r="DA88" s="349">
        <v>86.437136826975205</v>
      </c>
      <c r="DB88" s="349"/>
      <c r="DC88" s="350">
        <v>103.17587862697516</v>
      </c>
      <c r="DD88" s="350"/>
      <c r="DE88" s="349">
        <v>288.74156616697519</v>
      </c>
      <c r="DF88" s="349"/>
      <c r="DG88" s="350">
        <v>265.65697619697505</v>
      </c>
      <c r="DH88" s="350"/>
      <c r="DI88" s="349">
        <v>292.67299010910284</v>
      </c>
      <c r="DJ88" s="349"/>
      <c r="DK88" s="350">
        <v>200.09552197949174</v>
      </c>
      <c r="DL88" s="350"/>
      <c r="DM88" s="349">
        <v>244.65252699650961</v>
      </c>
      <c r="DN88" s="349"/>
      <c r="DO88" s="350">
        <v>364.81587403650974</v>
      </c>
      <c r="DP88" s="350"/>
    </row>
    <row r="89" spans="1:120" ht="15" customHeight="1" x14ac:dyDescent="0.2">
      <c r="H89" s="348" t="s">
        <v>626</v>
      </c>
      <c r="I89" s="349"/>
      <c r="J89" s="349"/>
      <c r="K89" s="350"/>
      <c r="L89" s="350"/>
      <c r="M89" s="349"/>
      <c r="N89" s="349"/>
      <c r="O89" s="350"/>
      <c r="P89" s="350"/>
      <c r="Q89" s="349"/>
      <c r="R89" s="349"/>
      <c r="S89" s="350"/>
      <c r="T89" s="350"/>
      <c r="U89" s="349"/>
      <c r="V89" s="349"/>
      <c r="W89" s="350"/>
      <c r="X89" s="350"/>
      <c r="Y89" s="349"/>
      <c r="Z89" s="349"/>
      <c r="AA89" s="350"/>
      <c r="AB89" s="350"/>
      <c r="AC89" s="349"/>
      <c r="AD89" s="349"/>
      <c r="AE89" s="350"/>
      <c r="AF89" s="350"/>
      <c r="AG89" s="349"/>
      <c r="AH89" s="349"/>
      <c r="AI89" s="350"/>
      <c r="AJ89" s="350"/>
      <c r="AK89" s="349"/>
      <c r="AL89" s="349"/>
      <c r="AM89" s="350"/>
      <c r="AN89" s="350"/>
      <c r="AO89" s="349"/>
      <c r="AP89" s="349"/>
      <c r="AQ89" s="350"/>
      <c r="AR89" s="350"/>
      <c r="AS89" s="349"/>
      <c r="AT89" s="349"/>
      <c r="AU89" s="350"/>
      <c r="AV89" s="350"/>
      <c r="AW89" s="351"/>
      <c r="AX89" s="351"/>
      <c r="AY89" s="350"/>
      <c r="AZ89" s="350"/>
      <c r="BA89" s="349"/>
      <c r="BB89" s="349"/>
      <c r="BC89" s="350"/>
      <c r="BD89" s="350"/>
      <c r="BE89" s="349"/>
      <c r="BF89" s="349"/>
      <c r="BG89" s="350"/>
      <c r="BH89" s="350"/>
      <c r="BI89" s="349"/>
      <c r="BJ89" s="349"/>
      <c r="BK89" s="350"/>
      <c r="BL89" s="350"/>
      <c r="BM89" s="349"/>
      <c r="BN89" s="349"/>
      <c r="BO89" s="350"/>
      <c r="BP89" s="350"/>
      <c r="BQ89" s="349"/>
      <c r="BR89" s="349"/>
      <c r="BS89" s="350"/>
      <c r="BT89" s="350"/>
      <c r="BU89" s="349"/>
      <c r="BV89" s="349"/>
      <c r="BW89" s="350"/>
      <c r="BX89" s="350"/>
      <c r="BY89" s="349"/>
      <c r="BZ89" s="349"/>
      <c r="CA89" s="350"/>
      <c r="CB89" s="350"/>
      <c r="CC89" s="349">
        <v>0</v>
      </c>
      <c r="CD89" s="349"/>
      <c r="CE89" s="350">
        <v>0</v>
      </c>
      <c r="CF89" s="350"/>
      <c r="CG89" s="349">
        <v>0</v>
      </c>
      <c r="CH89" s="349"/>
      <c r="CI89" s="350">
        <v>0</v>
      </c>
      <c r="CJ89" s="350"/>
      <c r="CK89" s="349">
        <v>0</v>
      </c>
      <c r="CL89" s="349"/>
      <c r="CM89" s="350">
        <v>0</v>
      </c>
      <c r="CN89" s="350"/>
      <c r="CO89" s="349">
        <v>15.819549631576168</v>
      </c>
      <c r="CP89" s="349"/>
      <c r="CQ89" s="350">
        <v>0</v>
      </c>
      <c r="CR89" s="350"/>
      <c r="CS89" s="349">
        <v>0</v>
      </c>
      <c r="CT89" s="349"/>
      <c r="CU89" s="350">
        <v>0</v>
      </c>
      <c r="CV89" s="350"/>
      <c r="CW89" s="349">
        <v>0</v>
      </c>
      <c r="CX89" s="349"/>
      <c r="CY89" s="350">
        <v>0</v>
      </c>
      <c r="CZ89" s="350"/>
      <c r="DA89" s="349">
        <v>0</v>
      </c>
      <c r="DB89" s="349"/>
      <c r="DC89" s="350">
        <v>0</v>
      </c>
      <c r="DD89" s="350"/>
      <c r="DE89" s="349">
        <v>0</v>
      </c>
      <c r="DF89" s="349"/>
      <c r="DG89" s="350">
        <v>0</v>
      </c>
      <c r="DH89" s="350"/>
      <c r="DI89" s="349">
        <v>0</v>
      </c>
      <c r="DJ89" s="349"/>
      <c r="DK89" s="350">
        <v>0</v>
      </c>
      <c r="DL89" s="350"/>
      <c r="DM89" s="349">
        <v>0</v>
      </c>
      <c r="DN89" s="349"/>
      <c r="DO89" s="350">
        <v>0</v>
      </c>
      <c r="DP89" s="350"/>
    </row>
    <row r="90" spans="1:120" ht="15" customHeight="1" x14ac:dyDescent="0.2">
      <c r="H90" s="348" t="s">
        <v>629</v>
      </c>
      <c r="I90" s="349"/>
      <c r="J90" s="349"/>
      <c r="K90" s="350"/>
      <c r="L90" s="350"/>
      <c r="M90" s="349"/>
      <c r="N90" s="349"/>
      <c r="O90" s="350"/>
      <c r="P90" s="350"/>
      <c r="Q90" s="349"/>
      <c r="R90" s="349"/>
      <c r="S90" s="350"/>
      <c r="T90" s="350"/>
      <c r="U90" s="349"/>
      <c r="V90" s="349"/>
      <c r="W90" s="350"/>
      <c r="X90" s="350"/>
      <c r="Y90" s="349"/>
      <c r="Z90" s="349"/>
      <c r="AA90" s="350"/>
      <c r="AB90" s="350"/>
      <c r="AC90" s="349"/>
      <c r="AD90" s="349"/>
      <c r="AE90" s="350"/>
      <c r="AF90" s="350"/>
      <c r="AG90" s="349"/>
      <c r="AH90" s="349"/>
      <c r="AI90" s="350"/>
      <c r="AJ90" s="350"/>
      <c r="AK90" s="349"/>
      <c r="AL90" s="349"/>
      <c r="AM90" s="350"/>
      <c r="AN90" s="350"/>
      <c r="AO90" s="349"/>
      <c r="AP90" s="349"/>
      <c r="AQ90" s="350"/>
      <c r="AR90" s="350"/>
      <c r="AS90" s="349"/>
      <c r="AT90" s="349"/>
      <c r="AU90" s="350"/>
      <c r="AV90" s="350"/>
      <c r="AW90" s="351"/>
      <c r="AX90" s="351"/>
      <c r="AY90" s="350"/>
      <c r="AZ90" s="350"/>
      <c r="BA90" s="349"/>
      <c r="BB90" s="349"/>
      <c r="BC90" s="350"/>
      <c r="BD90" s="350"/>
      <c r="BE90" s="349"/>
      <c r="BF90" s="349"/>
      <c r="BG90" s="350"/>
      <c r="BH90" s="350"/>
      <c r="BI90" s="349"/>
      <c r="BJ90" s="349"/>
      <c r="BK90" s="350"/>
      <c r="BL90" s="350"/>
      <c r="BM90" s="349"/>
      <c r="BN90" s="349"/>
      <c r="BO90" s="350"/>
      <c r="BP90" s="350"/>
      <c r="BQ90" s="349"/>
      <c r="BR90" s="349"/>
      <c r="BS90" s="350"/>
      <c r="BT90" s="350"/>
      <c r="BU90" s="349"/>
      <c r="BV90" s="349"/>
      <c r="BW90" s="350"/>
      <c r="BX90" s="350"/>
      <c r="BY90" s="349"/>
      <c r="BZ90" s="349"/>
      <c r="CA90" s="350"/>
      <c r="CB90" s="350"/>
      <c r="CC90" s="349">
        <v>-140.55276498090385</v>
      </c>
      <c r="CD90" s="349"/>
      <c r="CE90" s="350">
        <v>-65.658346073165632</v>
      </c>
      <c r="CF90" s="350"/>
      <c r="CG90" s="349">
        <v>-80.184288268709167</v>
      </c>
      <c r="CH90" s="349"/>
      <c r="CI90" s="350">
        <v>-67.438142627885483</v>
      </c>
      <c r="CJ90" s="350"/>
      <c r="CK90" s="349">
        <v>-145.23972138018581</v>
      </c>
      <c r="CL90" s="349"/>
      <c r="CM90" s="350">
        <v>-70.059927061129343</v>
      </c>
      <c r="CN90" s="350"/>
      <c r="CO90" s="349">
        <v>-7.3461759387654322</v>
      </c>
      <c r="CP90" s="349"/>
      <c r="CQ90" s="350">
        <v>-115.93259679313991</v>
      </c>
      <c r="CR90" s="350"/>
      <c r="CS90" s="349">
        <v>-92.436400281775832</v>
      </c>
      <c r="CT90" s="349"/>
      <c r="CU90" s="350">
        <v>-154.39155268177583</v>
      </c>
      <c r="CV90" s="350"/>
      <c r="CW90" s="349">
        <v>-144.73836399177586</v>
      </c>
      <c r="CX90" s="349"/>
      <c r="CY90" s="350">
        <v>-168.36029620177595</v>
      </c>
      <c r="CZ90" s="350"/>
      <c r="DA90" s="349">
        <v>-393.01656511341434</v>
      </c>
      <c r="DB90" s="349"/>
      <c r="DC90" s="350">
        <v>-184.17419328341435</v>
      </c>
      <c r="DD90" s="350"/>
      <c r="DE90" s="349">
        <v>-369.78138149341419</v>
      </c>
      <c r="DF90" s="349"/>
      <c r="DG90" s="350">
        <v>-372.21005513341424</v>
      </c>
      <c r="DH90" s="350"/>
      <c r="DI90" s="349">
        <v>-221.73826254506537</v>
      </c>
      <c r="DJ90" s="349"/>
      <c r="DK90" s="350">
        <v>-365.32251895506545</v>
      </c>
      <c r="DL90" s="350"/>
      <c r="DM90" s="349">
        <v>-393.60578169506539</v>
      </c>
      <c r="DN90" s="349"/>
      <c r="DO90" s="350">
        <v>-304.63457239506528</v>
      </c>
      <c r="DP90" s="350"/>
    </row>
    <row r="91" spans="1:120" ht="15" customHeight="1" x14ac:dyDescent="0.2">
      <c r="E91" s="338" t="s">
        <v>630</v>
      </c>
      <c r="I91" s="349">
        <v>0</v>
      </c>
      <c r="J91" s="349"/>
      <c r="K91" s="350">
        <v>0</v>
      </c>
      <c r="L91" s="350"/>
      <c r="M91" s="349">
        <v>0</v>
      </c>
      <c r="N91" s="349"/>
      <c r="O91" s="350">
        <v>0</v>
      </c>
      <c r="P91" s="350"/>
      <c r="Q91" s="349">
        <v>0</v>
      </c>
      <c r="R91" s="349"/>
      <c r="S91" s="350">
        <v>0</v>
      </c>
      <c r="T91" s="350"/>
      <c r="U91" s="349">
        <v>0</v>
      </c>
      <c r="V91" s="349"/>
      <c r="W91" s="350">
        <v>0</v>
      </c>
      <c r="X91" s="350"/>
      <c r="Y91" s="349">
        <v>0</v>
      </c>
      <c r="Z91" s="349"/>
      <c r="AA91" s="350">
        <v>0</v>
      </c>
      <c r="AB91" s="350"/>
      <c r="AC91" s="349">
        <v>0</v>
      </c>
      <c r="AD91" s="349"/>
      <c r="AE91" s="350">
        <v>0</v>
      </c>
      <c r="AF91" s="350"/>
      <c r="AG91" s="349">
        <v>0</v>
      </c>
      <c r="AH91" s="349"/>
      <c r="AI91" s="350">
        <v>0</v>
      </c>
      <c r="AJ91" s="350"/>
      <c r="AK91" s="349">
        <v>0</v>
      </c>
      <c r="AL91" s="349"/>
      <c r="AM91" s="350">
        <v>0</v>
      </c>
      <c r="AN91" s="350"/>
      <c r="AO91" s="349">
        <v>0</v>
      </c>
      <c r="AP91" s="349"/>
      <c r="AQ91" s="350">
        <v>0</v>
      </c>
      <c r="AR91" s="350"/>
      <c r="AS91" s="349">
        <v>0</v>
      </c>
      <c r="AT91" s="349"/>
      <c r="AU91" s="350">
        <v>0</v>
      </c>
      <c r="AV91" s="350"/>
      <c r="AW91" s="351">
        <v>0</v>
      </c>
      <c r="AX91" s="351"/>
      <c r="AY91" s="350">
        <v>0</v>
      </c>
      <c r="AZ91" s="350"/>
      <c r="BA91" s="349">
        <v>0</v>
      </c>
      <c r="BB91" s="349"/>
      <c r="BC91" s="350">
        <v>0</v>
      </c>
      <c r="BD91" s="350"/>
      <c r="BE91" s="349">
        <v>0</v>
      </c>
      <c r="BF91" s="349"/>
      <c r="BG91" s="350">
        <v>0</v>
      </c>
      <c r="BH91" s="350"/>
      <c r="BI91" s="349">
        <v>0</v>
      </c>
      <c r="BJ91" s="349"/>
      <c r="BK91" s="350">
        <v>0</v>
      </c>
      <c r="BL91" s="350"/>
      <c r="BM91" s="349">
        <v>0</v>
      </c>
      <c r="BN91" s="349"/>
      <c r="BO91" s="350">
        <v>0</v>
      </c>
      <c r="BP91" s="350"/>
      <c r="BQ91" s="349">
        <v>0</v>
      </c>
      <c r="BR91" s="349"/>
      <c r="BS91" s="350">
        <v>0</v>
      </c>
      <c r="BT91" s="350"/>
      <c r="BU91" s="349">
        <v>0</v>
      </c>
      <c r="BV91" s="349"/>
      <c r="BW91" s="350">
        <v>0</v>
      </c>
      <c r="BX91" s="350"/>
      <c r="BY91" s="349">
        <v>0</v>
      </c>
      <c r="BZ91" s="349"/>
      <c r="CA91" s="350">
        <v>0</v>
      </c>
      <c r="CB91" s="350"/>
      <c r="CC91" s="349">
        <v>0</v>
      </c>
      <c r="CD91" s="349"/>
      <c r="CE91" s="350">
        <v>0</v>
      </c>
      <c r="CF91" s="350"/>
      <c r="CG91" s="349">
        <v>0</v>
      </c>
      <c r="CH91" s="349"/>
      <c r="CI91" s="350">
        <v>0</v>
      </c>
      <c r="CJ91" s="350"/>
      <c r="CK91" s="349">
        <v>0</v>
      </c>
      <c r="CL91" s="349"/>
      <c r="CM91" s="350">
        <v>0</v>
      </c>
      <c r="CN91" s="350"/>
      <c r="CO91" s="349">
        <v>0</v>
      </c>
      <c r="CP91" s="349"/>
      <c r="CQ91" s="350">
        <v>0</v>
      </c>
      <c r="CR91" s="350"/>
      <c r="CS91" s="349">
        <v>0</v>
      </c>
      <c r="CT91" s="349"/>
      <c r="CU91" s="350">
        <v>0</v>
      </c>
      <c r="CV91" s="350"/>
      <c r="CW91" s="349">
        <v>0</v>
      </c>
      <c r="CX91" s="349"/>
      <c r="CY91" s="350">
        <v>0</v>
      </c>
      <c r="CZ91" s="350"/>
      <c r="DA91" s="349">
        <v>0</v>
      </c>
      <c r="DB91" s="349"/>
      <c r="DC91" s="350">
        <v>0</v>
      </c>
      <c r="DD91" s="350"/>
      <c r="DE91" s="349">
        <v>0</v>
      </c>
      <c r="DF91" s="349"/>
      <c r="DG91" s="350">
        <v>0</v>
      </c>
      <c r="DH91" s="350"/>
      <c r="DI91" s="349">
        <v>0</v>
      </c>
      <c r="DJ91" s="349"/>
      <c r="DK91" s="350">
        <v>0</v>
      </c>
      <c r="DL91" s="350"/>
      <c r="DM91" s="349">
        <v>0</v>
      </c>
      <c r="DN91" s="349"/>
      <c r="DO91" s="350">
        <v>0</v>
      </c>
      <c r="DP91" s="350"/>
    </row>
    <row r="92" spans="1:120" s="338" customFormat="1" ht="15" customHeight="1" x14ac:dyDescent="0.2">
      <c r="A92" s="272"/>
      <c r="E92" s="338" t="s">
        <v>631</v>
      </c>
      <c r="H92" s="339"/>
      <c r="I92" s="344">
        <v>-409.23432000000008</v>
      </c>
      <c r="J92" s="344">
        <v>9.9705788039317902</v>
      </c>
      <c r="K92" s="345">
        <v>-115.584</v>
      </c>
      <c r="L92" s="345">
        <v>19.299696033741959</v>
      </c>
      <c r="M92" s="344">
        <v>-329.39300000000003</v>
      </c>
      <c r="N92" s="344">
        <v>46.764720917945233</v>
      </c>
      <c r="O92" s="345">
        <v>283.44606679967757</v>
      </c>
      <c r="P92" s="345">
        <v>14.191462315075448</v>
      </c>
      <c r="Q92" s="344">
        <v>-347.72869497201697</v>
      </c>
      <c r="R92" s="344">
        <v>56.842081215331113</v>
      </c>
      <c r="S92" s="345">
        <v>252.27130502798286</v>
      </c>
      <c r="T92" s="345">
        <v>53.656505793782422</v>
      </c>
      <c r="U92" s="344">
        <v>-134.72869497201714</v>
      </c>
      <c r="V92" s="344">
        <v>72.125122334009603</v>
      </c>
      <c r="W92" s="345">
        <v>-4.7286949720171094</v>
      </c>
      <c r="X92" s="345">
        <v>42.81504146176237</v>
      </c>
      <c r="Y92" s="344">
        <v>119.5948477170457</v>
      </c>
      <c r="Z92" s="344">
        <v>102.46706343360742</v>
      </c>
      <c r="AA92" s="345">
        <v>-69.405152282954305</v>
      </c>
      <c r="AB92" s="345">
        <v>98.479530545501248</v>
      </c>
      <c r="AC92" s="344">
        <v>-80.405152282954191</v>
      </c>
      <c r="AD92" s="344">
        <v>97.216768900402101</v>
      </c>
      <c r="AE92" s="345">
        <v>-376.4051522829543</v>
      </c>
      <c r="AF92" s="345">
        <v>84.820659228121158</v>
      </c>
      <c r="AG92" s="344">
        <v>-241.16103065450571</v>
      </c>
      <c r="AH92" s="344">
        <v>34.201430771586018</v>
      </c>
      <c r="AI92" s="345">
        <v>95.838969345494149</v>
      </c>
      <c r="AJ92" s="345">
        <v>29.270522072908804</v>
      </c>
      <c r="AK92" s="344">
        <v>-149.16103065450579</v>
      </c>
      <c r="AL92" s="344">
        <v>19.112396704199824</v>
      </c>
      <c r="AM92" s="345">
        <v>-106.16103065450579</v>
      </c>
      <c r="AN92" s="345">
        <v>33.637322892903555</v>
      </c>
      <c r="AO92" s="344">
        <v>-144.85832962532817</v>
      </c>
      <c r="AP92" s="344">
        <v>-35.717212411474833</v>
      </c>
      <c r="AQ92" s="345">
        <v>147.14167037467172</v>
      </c>
      <c r="AR92" s="345">
        <v>-46.151895368568447</v>
      </c>
      <c r="AS92" s="344">
        <v>12.141670374671818</v>
      </c>
      <c r="AT92" s="344">
        <v>-0.94717504764182081</v>
      </c>
      <c r="AU92" s="345">
        <v>69.141670374671776</v>
      </c>
      <c r="AV92" s="345">
        <v>-34.934579381262026</v>
      </c>
      <c r="AW92" s="346">
        <v>206.52407789861596</v>
      </c>
      <c r="AX92" s="346">
        <v>4.1048667506847654</v>
      </c>
      <c r="AY92" s="345">
        <v>-56.475922101384015</v>
      </c>
      <c r="AZ92" s="345">
        <v>13.031184246318178</v>
      </c>
      <c r="BA92" s="344">
        <v>-303.80925543471744</v>
      </c>
      <c r="BB92" s="344">
        <v>20.585498156871083</v>
      </c>
      <c r="BC92" s="345">
        <v>348.52407789861593</v>
      </c>
      <c r="BD92" s="345">
        <v>-3.0950378489795991</v>
      </c>
      <c r="BE92" s="344">
        <v>106.87496832156438</v>
      </c>
      <c r="BF92" s="344">
        <v>31.626110268127803</v>
      </c>
      <c r="BG92" s="345">
        <v>119.87496832156441</v>
      </c>
      <c r="BH92" s="345">
        <v>60.87324764761091</v>
      </c>
      <c r="BI92" s="344">
        <v>183.87496832156444</v>
      </c>
      <c r="BJ92" s="344">
        <v>49.279421963043205</v>
      </c>
      <c r="BK92" s="345">
        <v>-163.12503167843553</v>
      </c>
      <c r="BL92" s="345">
        <v>35.011711849999699</v>
      </c>
      <c r="BM92" s="344">
        <v>-21.851945522727959</v>
      </c>
      <c r="BN92" s="344">
        <v>3.7939455494070744</v>
      </c>
      <c r="BO92" s="345">
        <v>105.14805447727207</v>
      </c>
      <c r="BP92" s="345">
        <v>-7.551448286912243</v>
      </c>
      <c r="BQ92" s="344">
        <v>-25.851945522727988</v>
      </c>
      <c r="BR92" s="344">
        <v>3.7119885487440643</v>
      </c>
      <c r="BS92" s="345">
        <v>-85.851945522727817</v>
      </c>
      <c r="BT92" s="345">
        <v>-3.795916748502715</v>
      </c>
      <c r="BU92" s="344">
        <v>131.71765814</v>
      </c>
      <c r="BV92" s="344">
        <v>-63.001617145879592</v>
      </c>
      <c r="BW92" s="345">
        <v>-379.28234186000003</v>
      </c>
      <c r="BX92" s="345">
        <v>-74.421707537973163</v>
      </c>
      <c r="BY92" s="344">
        <v>131.71765814000008</v>
      </c>
      <c r="BZ92" s="344">
        <v>-35.343859343381538</v>
      </c>
      <c r="CA92" s="345">
        <v>300.71765813999991</v>
      </c>
      <c r="CB92" s="345">
        <v>-51.257560874549853</v>
      </c>
      <c r="CC92" s="344">
        <v>213</v>
      </c>
      <c r="CD92" s="344">
        <v>50.266284034867425</v>
      </c>
      <c r="CE92" s="345">
        <v>-80.000000000000014</v>
      </c>
      <c r="CF92" s="345">
        <v>49.648649132305238</v>
      </c>
      <c r="CG92" s="344">
        <v>187</v>
      </c>
      <c r="CH92" s="344">
        <v>86.416806146586993</v>
      </c>
      <c r="CI92" s="345">
        <v>-746.25411757251345</v>
      </c>
      <c r="CJ92" s="345">
        <v>70.565458075995934</v>
      </c>
      <c r="CK92" s="344">
        <v>-296.61761799431679</v>
      </c>
      <c r="CL92" s="344">
        <v>79.644102786732176</v>
      </c>
      <c r="CM92" s="345">
        <v>-138.73320799999999</v>
      </c>
      <c r="CN92" s="345">
        <v>77.308791229986483</v>
      </c>
      <c r="CO92" s="344">
        <v>-195.91881200000003</v>
      </c>
      <c r="CP92" s="344">
        <v>66.635732485720041</v>
      </c>
      <c r="CQ92" s="345">
        <v>-263.78568144444432</v>
      </c>
      <c r="CR92" s="345">
        <v>58.631846458629738</v>
      </c>
      <c r="CS92" s="344">
        <v>-44.800000000000011</v>
      </c>
      <c r="CT92" s="344">
        <v>-27.265519107267515</v>
      </c>
      <c r="CU92" s="345">
        <v>-34.684153333333015</v>
      </c>
      <c r="CV92" s="345">
        <v>-71.424976840368629</v>
      </c>
      <c r="CW92" s="344">
        <v>-83</v>
      </c>
      <c r="CX92" s="344">
        <v>106.0768283551306</v>
      </c>
      <c r="CY92" s="345">
        <v>-97.63169333333397</v>
      </c>
      <c r="CZ92" s="345">
        <v>128.98176186765411</v>
      </c>
      <c r="DA92" s="344">
        <v>-36.200000000000003</v>
      </c>
      <c r="DB92" s="344">
        <v>94.377598583604438</v>
      </c>
      <c r="DC92" s="345">
        <v>-13.8</v>
      </c>
      <c r="DD92" s="345">
        <v>11.527335476892475</v>
      </c>
      <c r="DE92" s="344">
        <v>-38</v>
      </c>
      <c r="DF92" s="344">
        <v>73.26915782632517</v>
      </c>
      <c r="DG92" s="345">
        <v>-82</v>
      </c>
      <c r="DH92" s="345">
        <v>-67.945841510114931</v>
      </c>
      <c r="DI92" s="344">
        <v>-30.200000000000003</v>
      </c>
      <c r="DJ92" s="344">
        <v>104.13032118030709</v>
      </c>
      <c r="DK92" s="345">
        <v>-51</v>
      </c>
      <c r="DL92" s="345">
        <v>70.558000324077881</v>
      </c>
      <c r="DM92" s="344">
        <v>-44.8</v>
      </c>
      <c r="DN92" s="344">
        <v>98.882888247512028</v>
      </c>
      <c r="DO92" s="345">
        <v>-73</v>
      </c>
      <c r="DP92" s="345">
        <v>95.651431428906506</v>
      </c>
    </row>
    <row r="93" spans="1:120" s="338" customFormat="1" ht="15" customHeight="1" x14ac:dyDescent="0.2">
      <c r="A93" s="272"/>
      <c r="F93" s="347" t="s">
        <v>624</v>
      </c>
      <c r="G93" s="347"/>
      <c r="H93" s="348"/>
      <c r="I93" s="344"/>
      <c r="J93" s="349">
        <v>-16.446263015306755</v>
      </c>
      <c r="K93" s="345"/>
      <c r="L93" s="350">
        <v>-7.1483457854965877</v>
      </c>
      <c r="M93" s="344"/>
      <c r="N93" s="349">
        <v>18.640279098706685</v>
      </c>
      <c r="O93" s="345"/>
      <c r="P93" s="350">
        <v>-18.868606224034096</v>
      </c>
      <c r="Q93" s="344"/>
      <c r="R93" s="349">
        <v>4.2152781285244743</v>
      </c>
      <c r="S93" s="345"/>
      <c r="T93" s="350">
        <v>1.0297027069757831</v>
      </c>
      <c r="U93" s="344"/>
      <c r="V93" s="349">
        <v>19.498319247202957</v>
      </c>
      <c r="W93" s="345"/>
      <c r="X93" s="350">
        <v>-9.8117616250442694</v>
      </c>
      <c r="Y93" s="344"/>
      <c r="Z93" s="349">
        <v>8.6864209588768091</v>
      </c>
      <c r="AA93" s="345"/>
      <c r="AB93" s="350">
        <v>4.6988880707706357</v>
      </c>
      <c r="AC93" s="344"/>
      <c r="AD93" s="349">
        <v>3.436126425671489</v>
      </c>
      <c r="AE93" s="345"/>
      <c r="AF93" s="350">
        <v>-8.959983246609454</v>
      </c>
      <c r="AG93" s="344"/>
      <c r="AH93" s="349">
        <v>-2.3482457270751951</v>
      </c>
      <c r="AI93" s="345"/>
      <c r="AJ93" s="350">
        <v>-7.2791544257524095</v>
      </c>
      <c r="AK93" s="344"/>
      <c r="AL93" s="349">
        <v>-17.437279794461389</v>
      </c>
      <c r="AM93" s="345"/>
      <c r="AN93" s="350">
        <v>-2.9123536057576587</v>
      </c>
      <c r="AO93" s="344"/>
      <c r="AP93" s="349">
        <v>-7.0625907090711024</v>
      </c>
      <c r="AQ93" s="345"/>
      <c r="AR93" s="350">
        <v>-17.497273666164716</v>
      </c>
      <c r="AS93" s="344"/>
      <c r="AT93" s="349">
        <v>27.70744665476191</v>
      </c>
      <c r="AU93" s="345"/>
      <c r="AV93" s="350">
        <v>-6.2799576788582954</v>
      </c>
      <c r="AW93" s="346"/>
      <c r="AX93" s="351">
        <v>-0.35957159274536821</v>
      </c>
      <c r="AY93" s="345"/>
      <c r="AZ93" s="350">
        <v>8.5667459028880444</v>
      </c>
      <c r="BA93" s="344"/>
      <c r="BB93" s="349">
        <v>16.121059813440951</v>
      </c>
      <c r="BC93" s="345"/>
      <c r="BD93" s="350">
        <v>-7.5594761924097327</v>
      </c>
      <c r="BE93" s="344"/>
      <c r="BF93" s="349">
        <v>-14.957252173622763</v>
      </c>
      <c r="BG93" s="345"/>
      <c r="BH93" s="350">
        <v>14.289885205860344</v>
      </c>
      <c r="BI93" s="344"/>
      <c r="BJ93" s="349">
        <v>2.6960595212926393</v>
      </c>
      <c r="BK93" s="345"/>
      <c r="BL93" s="350">
        <v>-11.571650591750867</v>
      </c>
      <c r="BM93" s="344"/>
      <c r="BN93" s="349">
        <v>2.7981559711001012</v>
      </c>
      <c r="BO93" s="345"/>
      <c r="BP93" s="350">
        <v>-8.5472378652192162</v>
      </c>
      <c r="BQ93" s="344"/>
      <c r="BR93" s="349">
        <v>2.716198970437091</v>
      </c>
      <c r="BS93" s="345"/>
      <c r="BT93" s="350">
        <v>-4.7917063268096882</v>
      </c>
      <c r="BU93" s="344"/>
      <c r="BV93" s="349">
        <v>-4.8060712833796657</v>
      </c>
      <c r="BW93" s="345"/>
      <c r="BX93" s="350">
        <v>-16.226161675473236</v>
      </c>
      <c r="BY93" s="344"/>
      <c r="BZ93" s="349">
        <v>22.851686519118388</v>
      </c>
      <c r="CA93" s="345"/>
      <c r="CB93" s="350">
        <v>6.9379849879500739</v>
      </c>
      <c r="CC93" s="344"/>
      <c r="CD93" s="349">
        <v>-14.733715965132731</v>
      </c>
      <c r="CE93" s="345"/>
      <c r="CF93" s="350">
        <v>-15.351350867694919</v>
      </c>
      <c r="CG93" s="344"/>
      <c r="CH93" s="349">
        <v>21.416806146586836</v>
      </c>
      <c r="CI93" s="345"/>
      <c r="CJ93" s="350">
        <v>5.5654580759957781</v>
      </c>
      <c r="CK93" s="344"/>
      <c r="CL93" s="349">
        <v>2.243171211732303</v>
      </c>
      <c r="CM93" s="345"/>
      <c r="CN93" s="350">
        <v>-9.2140345013390856E-2</v>
      </c>
      <c r="CO93" s="344"/>
      <c r="CP93" s="349">
        <v>-10.765199089279832</v>
      </c>
      <c r="CQ93" s="345"/>
      <c r="CR93" s="350">
        <v>-18.769085116370135</v>
      </c>
      <c r="CS93" s="344"/>
      <c r="CT93" s="349">
        <v>-7.2655191072675152</v>
      </c>
      <c r="CU93" s="345"/>
      <c r="CV93" s="350">
        <v>4.3750231596313895</v>
      </c>
      <c r="CW93" s="344"/>
      <c r="CX93" s="349">
        <v>-3.7231716448694172</v>
      </c>
      <c r="CY93" s="345"/>
      <c r="CZ93" s="350">
        <v>2.9817618676541073</v>
      </c>
      <c r="DA93" s="344"/>
      <c r="DB93" s="349">
        <v>7.8775985836044384</v>
      </c>
      <c r="DC93" s="345"/>
      <c r="DD93" s="350">
        <v>6.0273354768924747</v>
      </c>
      <c r="DE93" s="344"/>
      <c r="DF93" s="349">
        <v>22.26915782632517</v>
      </c>
      <c r="DG93" s="345"/>
      <c r="DH93" s="350">
        <v>25.054158489885069</v>
      </c>
      <c r="DI93" s="344"/>
      <c r="DJ93" s="349">
        <v>-6.0996788196928975</v>
      </c>
      <c r="DK93" s="345"/>
      <c r="DL93" s="350">
        <v>2.5580003240778808</v>
      </c>
      <c r="DM93" s="344"/>
      <c r="DN93" s="349">
        <v>17.112888247512018</v>
      </c>
      <c r="DO93" s="345"/>
      <c r="DP93" s="350">
        <v>0.65143142890650552</v>
      </c>
    </row>
    <row r="94" spans="1:120" s="338" customFormat="1" ht="15.75" customHeight="1" x14ac:dyDescent="0.2">
      <c r="A94" s="272"/>
      <c r="F94" s="347"/>
      <c r="G94" s="347" t="s">
        <v>614</v>
      </c>
      <c r="H94" s="348"/>
      <c r="I94" s="344"/>
      <c r="J94" s="349">
        <v>-16.446263015306755</v>
      </c>
      <c r="K94" s="345"/>
      <c r="L94" s="350">
        <v>-7.1483457854965877</v>
      </c>
      <c r="M94" s="344"/>
      <c r="N94" s="349">
        <v>18.640279098706685</v>
      </c>
      <c r="O94" s="345"/>
      <c r="P94" s="350">
        <v>-18.868606224034096</v>
      </c>
      <c r="Q94" s="344"/>
      <c r="R94" s="349">
        <v>4.2152781285244743</v>
      </c>
      <c r="S94" s="345"/>
      <c r="T94" s="350">
        <v>1.0297027069757831</v>
      </c>
      <c r="U94" s="344"/>
      <c r="V94" s="349">
        <v>19.498319247202957</v>
      </c>
      <c r="W94" s="345"/>
      <c r="X94" s="350">
        <v>-9.8117616250442694</v>
      </c>
      <c r="Y94" s="344"/>
      <c r="Z94" s="349">
        <v>8.6864209588768091</v>
      </c>
      <c r="AA94" s="345"/>
      <c r="AB94" s="350">
        <v>4.6988880707706357</v>
      </c>
      <c r="AC94" s="344"/>
      <c r="AD94" s="349">
        <v>3.436126425671489</v>
      </c>
      <c r="AE94" s="345"/>
      <c r="AF94" s="350">
        <v>-8.959983246609454</v>
      </c>
      <c r="AG94" s="344"/>
      <c r="AH94" s="349">
        <v>-2.3482457270751951</v>
      </c>
      <c r="AI94" s="345"/>
      <c r="AJ94" s="350">
        <v>-7.2791544257524095</v>
      </c>
      <c r="AK94" s="344"/>
      <c r="AL94" s="349">
        <v>-17.437279794461389</v>
      </c>
      <c r="AM94" s="345"/>
      <c r="AN94" s="350">
        <v>-2.9123536057576587</v>
      </c>
      <c r="AO94" s="344"/>
      <c r="AP94" s="349">
        <v>-7.0625907090711024</v>
      </c>
      <c r="AQ94" s="345"/>
      <c r="AR94" s="350">
        <v>-17.497273666164716</v>
      </c>
      <c r="AS94" s="344"/>
      <c r="AT94" s="349">
        <v>27.70744665476191</v>
      </c>
      <c r="AU94" s="345"/>
      <c r="AV94" s="350">
        <v>-6.2799576788582954</v>
      </c>
      <c r="AW94" s="346"/>
      <c r="AX94" s="351">
        <v>-0.35957159274536821</v>
      </c>
      <c r="AY94" s="345"/>
      <c r="AZ94" s="350">
        <v>8.5667459028880444</v>
      </c>
      <c r="BA94" s="344"/>
      <c r="BB94" s="349">
        <v>16.121059813440951</v>
      </c>
      <c r="BC94" s="345"/>
      <c r="BD94" s="350">
        <v>-7.5594761924097327</v>
      </c>
      <c r="BE94" s="344"/>
      <c r="BF94" s="349">
        <v>-14.957252173622763</v>
      </c>
      <c r="BG94" s="345"/>
      <c r="BH94" s="350">
        <v>14.289885205860344</v>
      </c>
      <c r="BI94" s="344"/>
      <c r="BJ94" s="349">
        <v>2.6960595212926393</v>
      </c>
      <c r="BK94" s="345"/>
      <c r="BL94" s="350">
        <v>-11.571650591750867</v>
      </c>
      <c r="BM94" s="344"/>
      <c r="BN94" s="349">
        <v>2.7981559711001012</v>
      </c>
      <c r="BO94" s="345"/>
      <c r="BP94" s="350">
        <v>-8.5472378652192162</v>
      </c>
      <c r="BQ94" s="344"/>
      <c r="BR94" s="349">
        <v>2.716198970437091</v>
      </c>
      <c r="BS94" s="345"/>
      <c r="BT94" s="350">
        <v>-4.7917063268096882</v>
      </c>
      <c r="BU94" s="344"/>
      <c r="BV94" s="349">
        <v>-4.8060712833796657</v>
      </c>
      <c r="BW94" s="345"/>
      <c r="BX94" s="350">
        <v>-16.226161675473236</v>
      </c>
      <c r="BY94" s="344"/>
      <c r="BZ94" s="349">
        <v>22.851686519118388</v>
      </c>
      <c r="CA94" s="345"/>
      <c r="CB94" s="350">
        <v>6.9379849879500739</v>
      </c>
      <c r="CC94" s="344"/>
      <c r="CD94" s="349">
        <v>-14.733715965132731</v>
      </c>
      <c r="CE94" s="345"/>
      <c r="CF94" s="350">
        <v>-15.351350867694919</v>
      </c>
      <c r="CG94" s="344"/>
      <c r="CH94" s="349">
        <v>21.416806146586836</v>
      </c>
      <c r="CI94" s="345"/>
      <c r="CJ94" s="350">
        <v>5.5654580759957781</v>
      </c>
      <c r="CK94" s="344"/>
      <c r="CL94" s="349">
        <v>2.243171211732303</v>
      </c>
      <c r="CM94" s="345"/>
      <c r="CN94" s="350">
        <v>-9.2140345013390856E-2</v>
      </c>
      <c r="CO94" s="344"/>
      <c r="CP94" s="349">
        <v>-10.765199089279832</v>
      </c>
      <c r="CQ94" s="345"/>
      <c r="CR94" s="350">
        <v>-18.769085116370135</v>
      </c>
      <c r="CS94" s="344"/>
      <c r="CT94" s="349">
        <v>-7.2655191072675152</v>
      </c>
      <c r="CU94" s="345"/>
      <c r="CV94" s="350">
        <v>4.3750231596313895</v>
      </c>
      <c r="CW94" s="344"/>
      <c r="CX94" s="349">
        <v>-3.7231716448694172</v>
      </c>
      <c r="CY94" s="345"/>
      <c r="CZ94" s="350">
        <v>2.9817618676541073</v>
      </c>
      <c r="DA94" s="344"/>
      <c r="DB94" s="349">
        <v>7.8775985836044384</v>
      </c>
      <c r="DC94" s="345"/>
      <c r="DD94" s="350">
        <v>6.0273354768924747</v>
      </c>
      <c r="DE94" s="344"/>
      <c r="DF94" s="349">
        <v>22.26915782632517</v>
      </c>
      <c r="DG94" s="345"/>
      <c r="DH94" s="350">
        <v>25.054158489885069</v>
      </c>
      <c r="DI94" s="344"/>
      <c r="DJ94" s="349">
        <v>-6.0996788196928975</v>
      </c>
      <c r="DK94" s="345"/>
      <c r="DL94" s="350">
        <v>2.5580003240778808</v>
      </c>
      <c r="DM94" s="344"/>
      <c r="DN94" s="349">
        <v>17.112888247512018</v>
      </c>
      <c r="DO94" s="345"/>
      <c r="DP94" s="350">
        <v>0.65143142890650552</v>
      </c>
    </row>
    <row r="95" spans="1:120" ht="15" customHeight="1" x14ac:dyDescent="0.2">
      <c r="F95" s="347" t="s">
        <v>618</v>
      </c>
      <c r="I95" s="349">
        <v>-409.23432000000008</v>
      </c>
      <c r="J95" s="349">
        <v>26.416841819238545</v>
      </c>
      <c r="K95" s="350">
        <v>-115.584</v>
      </c>
      <c r="L95" s="350">
        <v>26.448041819238547</v>
      </c>
      <c r="M95" s="349">
        <v>-329.39300000000003</v>
      </c>
      <c r="N95" s="349">
        <v>28.124441819238548</v>
      </c>
      <c r="O95" s="350">
        <v>283.44606679967757</v>
      </c>
      <c r="P95" s="350">
        <v>33.060068539109544</v>
      </c>
      <c r="Q95" s="349">
        <v>-347.72869497201697</v>
      </c>
      <c r="R95" s="349">
        <v>52.626803086806639</v>
      </c>
      <c r="S95" s="350">
        <v>252.27130502798286</v>
      </c>
      <c r="T95" s="350">
        <v>52.626803086806639</v>
      </c>
      <c r="U95" s="349">
        <v>-134.72869497201714</v>
      </c>
      <c r="V95" s="349">
        <v>52.626803086806639</v>
      </c>
      <c r="W95" s="350">
        <v>-4.7286949720171094</v>
      </c>
      <c r="X95" s="350">
        <v>52.626803086806639</v>
      </c>
      <c r="Y95" s="349">
        <v>119.5948477170457</v>
      </c>
      <c r="Z95" s="349">
        <v>93.780642474730612</v>
      </c>
      <c r="AA95" s="350">
        <v>-69.405152282954305</v>
      </c>
      <c r="AB95" s="350">
        <v>93.780642474730612</v>
      </c>
      <c r="AC95" s="349">
        <v>-80.405152282954191</v>
      </c>
      <c r="AD95" s="349">
        <v>93.780642474730612</v>
      </c>
      <c r="AE95" s="350">
        <v>-376.4051522829543</v>
      </c>
      <c r="AF95" s="350">
        <v>93.780642474730612</v>
      </c>
      <c r="AG95" s="349">
        <v>-241.16103065450571</v>
      </c>
      <c r="AH95" s="349">
        <v>36.549676498661213</v>
      </c>
      <c r="AI95" s="350">
        <v>95.838969345494149</v>
      </c>
      <c r="AJ95" s="350">
        <v>36.549676498661213</v>
      </c>
      <c r="AK95" s="349">
        <v>-149.16103065450579</v>
      </c>
      <c r="AL95" s="349">
        <v>36.549676498661213</v>
      </c>
      <c r="AM95" s="350">
        <v>-106.16103065450579</v>
      </c>
      <c r="AN95" s="350">
        <v>36.549676498661213</v>
      </c>
      <c r="AO95" s="349">
        <v>-144.85832962532817</v>
      </c>
      <c r="AP95" s="349">
        <v>-28.65462170240373</v>
      </c>
      <c r="AQ95" s="350">
        <v>147.14167037467172</v>
      </c>
      <c r="AR95" s="350">
        <v>-28.65462170240373</v>
      </c>
      <c r="AS95" s="349">
        <v>12.141670374671818</v>
      </c>
      <c r="AT95" s="349">
        <v>-28.65462170240373</v>
      </c>
      <c r="AU95" s="350">
        <v>69.141670374671776</v>
      </c>
      <c r="AV95" s="350">
        <v>-28.65462170240373</v>
      </c>
      <c r="AW95" s="351">
        <v>206.52407789861596</v>
      </c>
      <c r="AX95" s="351">
        <v>4.4644383434301336</v>
      </c>
      <c r="AY95" s="350">
        <v>-56.475922101384015</v>
      </c>
      <c r="AZ95" s="350">
        <v>4.4644383434301336</v>
      </c>
      <c r="BA95" s="349">
        <v>-303.80925543471744</v>
      </c>
      <c r="BB95" s="349">
        <v>4.4644383434301336</v>
      </c>
      <c r="BC95" s="350">
        <v>348.52407789861593</v>
      </c>
      <c r="BD95" s="350">
        <v>4.4644383434301336</v>
      </c>
      <c r="BE95" s="349">
        <v>106.87496832156438</v>
      </c>
      <c r="BF95" s="349">
        <v>46.583362441750566</v>
      </c>
      <c r="BG95" s="350">
        <v>119.87496832156441</v>
      </c>
      <c r="BH95" s="350">
        <v>46.583362441750566</v>
      </c>
      <c r="BI95" s="349">
        <v>183.87496832156444</v>
      </c>
      <c r="BJ95" s="349">
        <v>46.583362441750566</v>
      </c>
      <c r="BK95" s="350">
        <v>-163.12503167843553</v>
      </c>
      <c r="BL95" s="350">
        <v>46.583362441750566</v>
      </c>
      <c r="BM95" s="349">
        <v>-21.851945522727959</v>
      </c>
      <c r="BN95" s="349">
        <v>0.99578957830697301</v>
      </c>
      <c r="BO95" s="350">
        <v>105.14805447727207</v>
      </c>
      <c r="BP95" s="350">
        <v>0.99578957830697301</v>
      </c>
      <c r="BQ95" s="349">
        <v>-25.851945522727988</v>
      </c>
      <c r="BR95" s="349">
        <v>0.99578957830697301</v>
      </c>
      <c r="BS95" s="350">
        <v>-85.851945522727817</v>
      </c>
      <c r="BT95" s="350">
        <v>0.99578957830697301</v>
      </c>
      <c r="BU95" s="349">
        <v>131.71765814</v>
      </c>
      <c r="BV95" s="349">
        <v>-58.195545862499927</v>
      </c>
      <c r="BW95" s="350">
        <v>-379.28234186000003</v>
      </c>
      <c r="BX95" s="350">
        <v>-58.195545862499927</v>
      </c>
      <c r="BY95" s="349">
        <v>131.71765814000008</v>
      </c>
      <c r="BZ95" s="349">
        <v>-58.195545862499927</v>
      </c>
      <c r="CA95" s="350">
        <v>300.71765813999991</v>
      </c>
      <c r="CB95" s="350">
        <v>-58.195545862499927</v>
      </c>
      <c r="CC95" s="349">
        <v>213</v>
      </c>
      <c r="CD95" s="349">
        <v>65.000000000000156</v>
      </c>
      <c r="CE95" s="350">
        <v>-80.000000000000014</v>
      </c>
      <c r="CF95" s="350">
        <v>65.000000000000156</v>
      </c>
      <c r="CG95" s="349">
        <v>187</v>
      </c>
      <c r="CH95" s="349">
        <v>65.000000000000156</v>
      </c>
      <c r="CI95" s="350">
        <v>-746.25411757251345</v>
      </c>
      <c r="CJ95" s="350">
        <v>65.000000000000156</v>
      </c>
      <c r="CK95" s="349">
        <v>-296.61761799431679</v>
      </c>
      <c r="CL95" s="349">
        <v>77.400931574999873</v>
      </c>
      <c r="CM95" s="350">
        <v>-138.73320799999999</v>
      </c>
      <c r="CN95" s="350">
        <v>77.400931574999873</v>
      </c>
      <c r="CO95" s="349">
        <v>-195.91881200000003</v>
      </c>
      <c r="CP95" s="349">
        <v>77.400931574999873</v>
      </c>
      <c r="CQ95" s="350">
        <v>-263.78568144444432</v>
      </c>
      <c r="CR95" s="350">
        <v>77.400931574999873</v>
      </c>
      <c r="CS95" s="349">
        <v>-44.800000000000011</v>
      </c>
      <c r="CT95" s="349">
        <v>-20</v>
      </c>
      <c r="CU95" s="350">
        <v>-34.684153333333015</v>
      </c>
      <c r="CV95" s="350">
        <v>-75.800000000000011</v>
      </c>
      <c r="CW95" s="349">
        <v>-83</v>
      </c>
      <c r="CX95" s="349">
        <v>109.80000000000001</v>
      </c>
      <c r="CY95" s="350">
        <v>-97.63169333333397</v>
      </c>
      <c r="CZ95" s="350">
        <v>126</v>
      </c>
      <c r="DA95" s="349">
        <v>-36.200000000000003</v>
      </c>
      <c r="DB95" s="349">
        <v>86.5</v>
      </c>
      <c r="DC95" s="350">
        <v>-13.8</v>
      </c>
      <c r="DD95" s="350">
        <v>5.5</v>
      </c>
      <c r="DE95" s="349">
        <v>-38</v>
      </c>
      <c r="DF95" s="349">
        <v>51</v>
      </c>
      <c r="DG95" s="350">
        <v>-82</v>
      </c>
      <c r="DH95" s="350">
        <v>-93</v>
      </c>
      <c r="DI95" s="349">
        <v>-30.200000000000003</v>
      </c>
      <c r="DJ95" s="349">
        <v>110.22999999999999</v>
      </c>
      <c r="DK95" s="350">
        <v>-51</v>
      </c>
      <c r="DL95" s="350">
        <v>68</v>
      </c>
      <c r="DM95" s="349">
        <v>-44.8</v>
      </c>
      <c r="DN95" s="349">
        <v>81.77000000000001</v>
      </c>
      <c r="DO95" s="350">
        <v>-73</v>
      </c>
      <c r="DP95" s="350">
        <v>95</v>
      </c>
    </row>
    <row r="96" spans="1:120" ht="15" customHeight="1" x14ac:dyDescent="0.2">
      <c r="G96" s="347" t="s">
        <v>614</v>
      </c>
      <c r="I96" s="349">
        <v>-409.23432000000008</v>
      </c>
      <c r="J96" s="349">
        <v>26.416841819238545</v>
      </c>
      <c r="K96" s="350">
        <v>-115.584</v>
      </c>
      <c r="L96" s="350">
        <v>26.448041819238547</v>
      </c>
      <c r="M96" s="349">
        <v>-357.51744181923857</v>
      </c>
      <c r="N96" s="349">
        <v>28.124441819238548</v>
      </c>
      <c r="O96" s="350">
        <v>283.44606679967757</v>
      </c>
      <c r="P96" s="350">
        <v>33.060068539109544</v>
      </c>
      <c r="Q96" s="349">
        <v>-347.72869497201697</v>
      </c>
      <c r="R96" s="349">
        <v>52.626803086806639</v>
      </c>
      <c r="S96" s="350">
        <v>252.27130502798286</v>
      </c>
      <c r="T96" s="350">
        <v>52.626803086806639</v>
      </c>
      <c r="U96" s="349">
        <v>-134.72869497201714</v>
      </c>
      <c r="V96" s="349">
        <v>52.626803086806639</v>
      </c>
      <c r="W96" s="350">
        <v>-4.7286949720171094</v>
      </c>
      <c r="X96" s="350">
        <v>52.626803086806639</v>
      </c>
      <c r="Y96" s="349">
        <v>119.5948477170457</v>
      </c>
      <c r="Z96" s="349">
        <v>93.780642474730612</v>
      </c>
      <c r="AA96" s="350">
        <v>-69.405152282954305</v>
      </c>
      <c r="AB96" s="350">
        <v>93.780642474730612</v>
      </c>
      <c r="AC96" s="349">
        <v>-80.405152282954191</v>
      </c>
      <c r="AD96" s="349">
        <v>93.780642474730612</v>
      </c>
      <c r="AE96" s="350">
        <v>-376.4051522829543</v>
      </c>
      <c r="AF96" s="350">
        <v>93.780642474730612</v>
      </c>
      <c r="AG96" s="349">
        <v>-241.16103065450571</v>
      </c>
      <c r="AH96" s="349">
        <v>36.549676498661213</v>
      </c>
      <c r="AI96" s="350">
        <v>95.838969345494149</v>
      </c>
      <c r="AJ96" s="350">
        <v>36.549676498661213</v>
      </c>
      <c r="AK96" s="349">
        <v>-149.16103065450579</v>
      </c>
      <c r="AL96" s="349">
        <v>36.549676498661213</v>
      </c>
      <c r="AM96" s="350">
        <v>-106.16103065450579</v>
      </c>
      <c r="AN96" s="350">
        <v>36.549676498661213</v>
      </c>
      <c r="AO96" s="349">
        <v>-144.85832962532817</v>
      </c>
      <c r="AP96" s="349">
        <v>-28.65462170240373</v>
      </c>
      <c r="AQ96" s="350">
        <v>147.14167037467172</v>
      </c>
      <c r="AR96" s="350">
        <v>-28.65462170240373</v>
      </c>
      <c r="AS96" s="349">
        <v>12.141670374671818</v>
      </c>
      <c r="AT96" s="349">
        <v>-28.65462170240373</v>
      </c>
      <c r="AU96" s="350">
        <v>69.141670374671776</v>
      </c>
      <c r="AV96" s="350">
        <v>-28.65462170240373</v>
      </c>
      <c r="AW96" s="351">
        <v>206.52407789861596</v>
      </c>
      <c r="AX96" s="351">
        <v>4.4644383434301336</v>
      </c>
      <c r="AY96" s="350">
        <v>-56.475922101384015</v>
      </c>
      <c r="AZ96" s="350">
        <v>4.4644383434301336</v>
      </c>
      <c r="BA96" s="349">
        <v>-303.80925543471744</v>
      </c>
      <c r="BB96" s="349">
        <v>4.4644383434301336</v>
      </c>
      <c r="BC96" s="350">
        <v>348.52407789861593</v>
      </c>
      <c r="BD96" s="350">
        <v>4.4644383434301336</v>
      </c>
      <c r="BE96" s="349">
        <v>106.87496832156438</v>
      </c>
      <c r="BF96" s="349">
        <v>46.583362441750566</v>
      </c>
      <c r="BG96" s="350">
        <v>119.87496832156441</v>
      </c>
      <c r="BH96" s="350">
        <v>46.583362441750566</v>
      </c>
      <c r="BI96" s="349">
        <v>183.87496832156444</v>
      </c>
      <c r="BJ96" s="349">
        <v>46.583362441750566</v>
      </c>
      <c r="BK96" s="350">
        <v>-163.12503167843553</v>
      </c>
      <c r="BL96" s="350">
        <v>46.583362441750566</v>
      </c>
      <c r="BM96" s="349">
        <v>-21.851945522727959</v>
      </c>
      <c r="BN96" s="349">
        <v>0.99578957830697301</v>
      </c>
      <c r="BO96" s="350">
        <v>105.14805447727207</v>
      </c>
      <c r="BP96" s="350">
        <v>0.99578957830697301</v>
      </c>
      <c r="BQ96" s="349">
        <v>-25.851945522727988</v>
      </c>
      <c r="BR96" s="349">
        <v>0.99578957830697301</v>
      </c>
      <c r="BS96" s="350">
        <v>-85.851945522727817</v>
      </c>
      <c r="BT96" s="350">
        <v>0.99578957830697301</v>
      </c>
      <c r="BU96" s="349">
        <v>131.71765814</v>
      </c>
      <c r="BV96" s="349">
        <v>-58.195545862499927</v>
      </c>
      <c r="BW96" s="350">
        <v>-379.28234186000003</v>
      </c>
      <c r="BX96" s="350">
        <v>-58.195545862499927</v>
      </c>
      <c r="BY96" s="349">
        <v>131.71765814000008</v>
      </c>
      <c r="BZ96" s="349">
        <v>-58.195545862499927</v>
      </c>
      <c r="CA96" s="350">
        <v>300.71765813999991</v>
      </c>
      <c r="CB96" s="350">
        <v>-58.195545862499927</v>
      </c>
      <c r="CC96" s="349">
        <v>213</v>
      </c>
      <c r="CD96" s="349">
        <v>65.000000000000156</v>
      </c>
      <c r="CE96" s="350">
        <v>-80.000000000000014</v>
      </c>
      <c r="CF96" s="350">
        <v>65.000000000000156</v>
      </c>
      <c r="CG96" s="349">
        <v>187</v>
      </c>
      <c r="CH96" s="349">
        <v>65.000000000000156</v>
      </c>
      <c r="CI96" s="350">
        <v>-746.25411757251345</v>
      </c>
      <c r="CJ96" s="350">
        <v>65.000000000000156</v>
      </c>
      <c r="CK96" s="349">
        <v>-296.61761799431679</v>
      </c>
      <c r="CL96" s="349">
        <v>77.400931574999873</v>
      </c>
      <c r="CM96" s="350">
        <v>-138.73320799999999</v>
      </c>
      <c r="CN96" s="350">
        <v>77.400931574999873</v>
      </c>
      <c r="CO96" s="349">
        <v>-195.91881200000003</v>
      </c>
      <c r="CP96" s="349">
        <v>77.400931574999873</v>
      </c>
      <c r="CQ96" s="350">
        <v>-263.78568144444432</v>
      </c>
      <c r="CR96" s="350">
        <v>77.400931574999873</v>
      </c>
      <c r="CS96" s="349">
        <v>-44.800000000000011</v>
      </c>
      <c r="CT96" s="349">
        <v>-20</v>
      </c>
      <c r="CU96" s="350">
        <v>-34.684153333333015</v>
      </c>
      <c r="CV96" s="350">
        <v>-75.800000000000011</v>
      </c>
      <c r="CW96" s="349">
        <v>-83</v>
      </c>
      <c r="CX96" s="349">
        <v>109.80000000000001</v>
      </c>
      <c r="CY96" s="350">
        <v>-97.63169333333397</v>
      </c>
      <c r="CZ96" s="350">
        <v>126</v>
      </c>
      <c r="DA96" s="349">
        <v>-36.200000000000003</v>
      </c>
      <c r="DB96" s="349">
        <v>86.5</v>
      </c>
      <c r="DC96" s="350">
        <v>-13.8</v>
      </c>
      <c r="DD96" s="350">
        <v>5.5</v>
      </c>
      <c r="DE96" s="349">
        <v>-38</v>
      </c>
      <c r="DF96" s="349">
        <v>51</v>
      </c>
      <c r="DG96" s="350">
        <v>-82</v>
      </c>
      <c r="DH96" s="350">
        <v>-93</v>
      </c>
      <c r="DI96" s="349">
        <v>-30.200000000000003</v>
      </c>
      <c r="DJ96" s="349">
        <v>110.22999999999999</v>
      </c>
      <c r="DK96" s="350">
        <v>-51</v>
      </c>
      <c r="DL96" s="350">
        <v>68</v>
      </c>
      <c r="DM96" s="349">
        <v>-44.8</v>
      </c>
      <c r="DN96" s="349">
        <v>81.77000000000001</v>
      </c>
      <c r="DO96" s="350">
        <v>-73</v>
      </c>
      <c r="DP96" s="350">
        <v>95</v>
      </c>
    </row>
    <row r="97" spans="1:120" s="338" customFormat="1" ht="15" customHeight="1" x14ac:dyDescent="0.2">
      <c r="A97" s="272"/>
      <c r="E97" s="338" t="s">
        <v>632</v>
      </c>
      <c r="H97" s="339"/>
      <c r="I97" s="344">
        <v>-311.94565910665904</v>
      </c>
      <c r="J97" s="344">
        <v>67.539091999999982</v>
      </c>
      <c r="K97" s="345">
        <v>76.00237430076595</v>
      </c>
      <c r="L97" s="345">
        <v>-3.2527380000000221</v>
      </c>
      <c r="M97" s="344">
        <v>-390.08281294827196</v>
      </c>
      <c r="N97" s="344">
        <v>78.487932000000001</v>
      </c>
      <c r="O97" s="345">
        <v>63.282216029595034</v>
      </c>
      <c r="P97" s="345">
        <v>-32.230047000000013</v>
      </c>
      <c r="Q97" s="344">
        <v>-111.95595953302018</v>
      </c>
      <c r="R97" s="344">
        <v>65.461841550000145</v>
      </c>
      <c r="S97" s="345">
        <v>134.23932508615749</v>
      </c>
      <c r="T97" s="345">
        <v>11.339758520000032</v>
      </c>
      <c r="U97" s="344">
        <v>-140.63327515590956</v>
      </c>
      <c r="V97" s="344">
        <v>77.558787690000145</v>
      </c>
      <c r="W97" s="345">
        <v>175.93688710184526</v>
      </c>
      <c r="X97" s="345">
        <v>-112.1444381678225</v>
      </c>
      <c r="Y97" s="344">
        <v>-111.51560451315154</v>
      </c>
      <c r="Z97" s="344">
        <v>192.03260259782235</v>
      </c>
      <c r="AA97" s="345">
        <v>165.5934279299872</v>
      </c>
      <c r="AB97" s="345">
        <v>92.836470748405986</v>
      </c>
      <c r="AC97" s="344">
        <v>-112.21391394002501</v>
      </c>
      <c r="AD97" s="344">
        <v>-111.45232140478379</v>
      </c>
      <c r="AE97" s="345">
        <v>209.56404638362403</v>
      </c>
      <c r="AF97" s="345">
        <v>140.8581689794637</v>
      </c>
      <c r="AG97" s="344">
        <v>-192.95190857011485</v>
      </c>
      <c r="AH97" s="344">
        <v>108.89210767953978</v>
      </c>
      <c r="AI97" s="345">
        <v>179.95827500539431</v>
      </c>
      <c r="AJ97" s="345">
        <v>-4.7198871275545571</v>
      </c>
      <c r="AK97" s="344">
        <v>-192.41697918879865</v>
      </c>
      <c r="AL97" s="344">
        <v>-38.448409370522768</v>
      </c>
      <c r="AM97" s="345">
        <v>246.87832918990077</v>
      </c>
      <c r="AN97" s="345">
        <v>178.77362734783537</v>
      </c>
      <c r="AO97" s="344">
        <v>-227.93128393991014</v>
      </c>
      <c r="AP97" s="344">
        <v>60.552956168179207</v>
      </c>
      <c r="AQ97" s="345">
        <v>194.29009016997185</v>
      </c>
      <c r="AR97" s="345">
        <v>67.705135509436786</v>
      </c>
      <c r="AS97" s="344">
        <v>-168.91538654010918</v>
      </c>
      <c r="AT97" s="344">
        <v>325.75063563000049</v>
      </c>
      <c r="AU97" s="345">
        <v>257.51327537006136</v>
      </c>
      <c r="AV97" s="345">
        <v>-75.059668500000498</v>
      </c>
      <c r="AW97" s="346">
        <v>-237.36452218154125</v>
      </c>
      <c r="AX97" s="346">
        <v>-397.84638701999984</v>
      </c>
      <c r="AY97" s="345">
        <v>186.94590911154029</v>
      </c>
      <c r="AZ97" s="345">
        <v>196.83683316000042</v>
      </c>
      <c r="BA97" s="344">
        <v>-268.72732453000214</v>
      </c>
      <c r="BB97" s="344">
        <v>223.09807564400012</v>
      </c>
      <c r="BC97" s="345">
        <v>380.48469960000932</v>
      </c>
      <c r="BD97" s="345">
        <v>-53.155959914000732</v>
      </c>
      <c r="BE97" s="344">
        <v>-343.30566021999653</v>
      </c>
      <c r="BF97" s="344">
        <v>19.007715900000221</v>
      </c>
      <c r="BG97" s="345">
        <v>263.49284449003164</v>
      </c>
      <c r="BH97" s="345">
        <v>-88.101153839999824</v>
      </c>
      <c r="BI97" s="344">
        <v>-296.59028785003204</v>
      </c>
      <c r="BJ97" s="344">
        <v>33.136184159999857</v>
      </c>
      <c r="BK97" s="345">
        <v>214.01326172002729</v>
      </c>
      <c r="BL97" s="345">
        <v>151.70474515000001</v>
      </c>
      <c r="BM97" s="344">
        <v>-203.12385677999202</v>
      </c>
      <c r="BN97" s="344">
        <v>62.829884539999966</v>
      </c>
      <c r="BO97" s="345">
        <v>154.67516067997224</v>
      </c>
      <c r="BP97" s="345">
        <v>-124.5266709399998</v>
      </c>
      <c r="BQ97" s="344">
        <v>-168.92436714997982</v>
      </c>
      <c r="BR97" s="344">
        <v>161.26090853999995</v>
      </c>
      <c r="BS97" s="345">
        <v>241.47845797997948</v>
      </c>
      <c r="BT97" s="345">
        <v>96.804436029999124</v>
      </c>
      <c r="BU97" s="344">
        <v>-236.70661321003078</v>
      </c>
      <c r="BV97" s="344">
        <v>311.10614537733045</v>
      </c>
      <c r="BW97" s="345">
        <v>53.895806980032233</v>
      </c>
      <c r="BX97" s="345">
        <v>-253.1887929860427</v>
      </c>
      <c r="BY97" s="344">
        <v>-114.65608688998572</v>
      </c>
      <c r="BZ97" s="344">
        <v>-191.40501314455923</v>
      </c>
      <c r="CA97" s="345">
        <v>183.83996515997873</v>
      </c>
      <c r="CB97" s="345">
        <v>157.26585923898483</v>
      </c>
      <c r="CC97" s="344">
        <v>-66.525351299974147</v>
      </c>
      <c r="CD97" s="344">
        <v>-80.13482698497819</v>
      </c>
      <c r="CE97" s="345">
        <v>184.97787942998764</v>
      </c>
      <c r="CF97" s="345">
        <v>69.107211021758076</v>
      </c>
      <c r="CG97" s="344">
        <v>-227.64048328000905</v>
      </c>
      <c r="CH97" s="344">
        <v>201.80121428179314</v>
      </c>
      <c r="CI97" s="345">
        <v>289.26979382992141</v>
      </c>
      <c r="CJ97" s="345">
        <v>-367.24582318101784</v>
      </c>
      <c r="CK97" s="344">
        <v>778.74404025007652</v>
      </c>
      <c r="CL97" s="344">
        <v>211.91349201312414</v>
      </c>
      <c r="CM97" s="345">
        <v>615.19521452002186</v>
      </c>
      <c r="CN97" s="345">
        <v>-18.768594871998175</v>
      </c>
      <c r="CO97" s="344">
        <v>105.46726382997281</v>
      </c>
      <c r="CP97" s="344">
        <v>440.67768951253902</v>
      </c>
      <c r="CQ97" s="345">
        <v>-7.8520278499927372</v>
      </c>
      <c r="CR97" s="345">
        <v>-127.58646073922046</v>
      </c>
      <c r="CS97" s="344">
        <v>-34.906889479993929</v>
      </c>
      <c r="CT97" s="344">
        <v>386.29059895662613</v>
      </c>
      <c r="CU97" s="345">
        <v>-0.99657223997822797</v>
      </c>
      <c r="CV97" s="345">
        <v>156.42898675250217</v>
      </c>
      <c r="CW97" s="344">
        <v>206.52174963000593</v>
      </c>
      <c r="CX97" s="344">
        <v>314.03697081228984</v>
      </c>
      <c r="CY97" s="345">
        <v>0</v>
      </c>
      <c r="CZ97" s="345">
        <v>-135.53592641055229</v>
      </c>
      <c r="DA97" s="344">
        <v>0</v>
      </c>
      <c r="DB97" s="344">
        <v>-100.88076593630649</v>
      </c>
      <c r="DC97" s="345">
        <v>0</v>
      </c>
      <c r="DD97" s="345">
        <v>154.26908679187318</v>
      </c>
      <c r="DE97" s="344">
        <v>0</v>
      </c>
      <c r="DF97" s="344">
        <v>113.90318068658326</v>
      </c>
      <c r="DG97" s="345">
        <v>0</v>
      </c>
      <c r="DH97" s="345">
        <v>-208.89274226406542</v>
      </c>
      <c r="DI97" s="344">
        <v>0</v>
      </c>
      <c r="DJ97" s="344">
        <v>342.45606876159536</v>
      </c>
      <c r="DK97" s="345">
        <v>0</v>
      </c>
      <c r="DL97" s="345">
        <v>250.03046154453341</v>
      </c>
      <c r="DM97" s="344">
        <v>0</v>
      </c>
      <c r="DN97" s="344">
        <v>227.5242026097585</v>
      </c>
      <c r="DO97" s="345">
        <v>0</v>
      </c>
      <c r="DP97" s="345">
        <v>158.1335222708849</v>
      </c>
    </row>
    <row r="98" spans="1:120" s="338" customFormat="1" ht="15" customHeight="1" x14ac:dyDescent="0.2">
      <c r="A98" s="272"/>
      <c r="F98" s="347" t="s">
        <v>620</v>
      </c>
      <c r="G98" s="347"/>
      <c r="H98" s="348"/>
      <c r="I98" s="349">
        <v>-311.94565910665904</v>
      </c>
      <c r="J98" s="344"/>
      <c r="K98" s="350">
        <v>76.00237430076595</v>
      </c>
      <c r="L98" s="345"/>
      <c r="M98" s="349">
        <v>-390.08281294827196</v>
      </c>
      <c r="N98" s="344"/>
      <c r="O98" s="350">
        <v>63.282216029595034</v>
      </c>
      <c r="P98" s="345"/>
      <c r="Q98" s="349">
        <v>-111.95595953302018</v>
      </c>
      <c r="R98" s="344"/>
      <c r="S98" s="350">
        <v>134.23932508615749</v>
      </c>
      <c r="T98" s="345"/>
      <c r="U98" s="349">
        <v>-140.63327515590956</v>
      </c>
      <c r="V98" s="344"/>
      <c r="W98" s="350">
        <v>175.93688710184526</v>
      </c>
      <c r="X98" s="345"/>
      <c r="Y98" s="349">
        <v>-111.51560451315154</v>
      </c>
      <c r="Z98" s="344"/>
      <c r="AA98" s="350">
        <v>165.5934279299872</v>
      </c>
      <c r="AB98" s="345"/>
      <c r="AC98" s="349">
        <v>-112.21391394002501</v>
      </c>
      <c r="AD98" s="344"/>
      <c r="AE98" s="350">
        <v>209.56404638362403</v>
      </c>
      <c r="AF98" s="345"/>
      <c r="AG98" s="349">
        <v>-192.95190857011485</v>
      </c>
      <c r="AH98" s="344"/>
      <c r="AI98" s="350">
        <v>179.95827500539431</v>
      </c>
      <c r="AJ98" s="345"/>
      <c r="AK98" s="349">
        <v>-192.41697918879865</v>
      </c>
      <c r="AL98" s="344"/>
      <c r="AM98" s="350">
        <v>246.87832918990077</v>
      </c>
      <c r="AN98" s="345"/>
      <c r="AO98" s="349">
        <v>-227.93128393991014</v>
      </c>
      <c r="AP98" s="344"/>
      <c r="AQ98" s="350">
        <v>194.29009016997185</v>
      </c>
      <c r="AR98" s="345"/>
      <c r="AS98" s="349">
        <v>-168.91538654010918</v>
      </c>
      <c r="AT98" s="344"/>
      <c r="AU98" s="350">
        <v>257.51327537006136</v>
      </c>
      <c r="AV98" s="345"/>
      <c r="AW98" s="351">
        <v>-237.36452218154125</v>
      </c>
      <c r="AX98" s="346"/>
      <c r="AY98" s="350">
        <v>186.94590911154029</v>
      </c>
      <c r="AZ98" s="345"/>
      <c r="BA98" s="349">
        <v>-268.72732453000214</v>
      </c>
      <c r="BB98" s="344"/>
      <c r="BC98" s="350">
        <v>380.48469960000932</v>
      </c>
      <c r="BD98" s="345"/>
      <c r="BE98" s="349">
        <v>-343.30566021999653</v>
      </c>
      <c r="BF98" s="344"/>
      <c r="BG98" s="350">
        <v>263.49284449003164</v>
      </c>
      <c r="BH98" s="345"/>
      <c r="BI98" s="349">
        <v>-296.59028785003204</v>
      </c>
      <c r="BJ98" s="344"/>
      <c r="BK98" s="350">
        <v>214.01326172002729</v>
      </c>
      <c r="BL98" s="345"/>
      <c r="BM98" s="349">
        <v>-203.12385677999202</v>
      </c>
      <c r="BN98" s="344"/>
      <c r="BO98" s="350">
        <v>154.67516067997224</v>
      </c>
      <c r="BP98" s="345"/>
      <c r="BQ98" s="349">
        <v>-168.92436714997982</v>
      </c>
      <c r="BR98" s="344"/>
      <c r="BS98" s="350">
        <v>241.47845797997948</v>
      </c>
      <c r="BT98" s="345"/>
      <c r="BU98" s="349">
        <v>-236.70661321003078</v>
      </c>
      <c r="BV98" s="344"/>
      <c r="BW98" s="350">
        <v>53.895806980032233</v>
      </c>
      <c r="BX98" s="345"/>
      <c r="BY98" s="349">
        <v>-114.65608688998572</v>
      </c>
      <c r="BZ98" s="344"/>
      <c r="CA98" s="350">
        <v>183.83996515997873</v>
      </c>
      <c r="CB98" s="345"/>
      <c r="CC98" s="349">
        <v>-66.525351299974147</v>
      </c>
      <c r="CD98" s="344"/>
      <c r="CE98" s="350">
        <v>184.97787942998764</v>
      </c>
      <c r="CF98" s="345"/>
      <c r="CG98" s="349">
        <v>-227.64048328000905</v>
      </c>
      <c r="CH98" s="344"/>
      <c r="CI98" s="350">
        <v>289.26979382992141</v>
      </c>
      <c r="CJ98" s="345"/>
      <c r="CK98" s="349">
        <v>778.74404025007652</v>
      </c>
      <c r="CL98" s="344"/>
      <c r="CM98" s="350">
        <v>615.19521452002186</v>
      </c>
      <c r="CN98" s="345"/>
      <c r="CO98" s="349">
        <v>105.46726382997281</v>
      </c>
      <c r="CP98" s="344"/>
      <c r="CQ98" s="350">
        <v>-7.8520278499927372</v>
      </c>
      <c r="CR98" s="345"/>
      <c r="CS98" s="349">
        <v>-34.906889479993929</v>
      </c>
      <c r="CT98" s="344"/>
      <c r="CU98" s="350">
        <v>-0.99657223997822797</v>
      </c>
      <c r="CV98" s="345"/>
      <c r="CW98" s="349">
        <v>206.52174963000593</v>
      </c>
      <c r="CX98" s="344"/>
      <c r="CY98" s="350">
        <v>0</v>
      </c>
      <c r="CZ98" s="345"/>
      <c r="DA98" s="349">
        <v>0</v>
      </c>
      <c r="DB98" s="344"/>
      <c r="DC98" s="350">
        <v>0</v>
      </c>
      <c r="DD98" s="345"/>
      <c r="DE98" s="349">
        <v>0</v>
      </c>
      <c r="DF98" s="344"/>
      <c r="DG98" s="350">
        <v>0</v>
      </c>
      <c r="DH98" s="345"/>
      <c r="DI98" s="349">
        <v>0</v>
      </c>
      <c r="DJ98" s="344"/>
      <c r="DK98" s="350">
        <v>0</v>
      </c>
      <c r="DL98" s="345"/>
      <c r="DM98" s="349">
        <v>0</v>
      </c>
      <c r="DN98" s="344"/>
      <c r="DO98" s="350">
        <v>0</v>
      </c>
      <c r="DP98" s="345"/>
    </row>
    <row r="99" spans="1:120" s="338" customFormat="1" ht="15" customHeight="1" x14ac:dyDescent="0.2">
      <c r="A99" s="272"/>
      <c r="F99" s="347"/>
      <c r="G99" s="347" t="s">
        <v>614</v>
      </c>
      <c r="H99" s="348"/>
      <c r="I99" s="349">
        <v>-311.94565910665904</v>
      </c>
      <c r="J99" s="344"/>
      <c r="K99" s="350">
        <v>76.00237430076595</v>
      </c>
      <c r="L99" s="345"/>
      <c r="M99" s="349">
        <v>-390.08281294827196</v>
      </c>
      <c r="N99" s="344"/>
      <c r="O99" s="350">
        <v>63.282216029595034</v>
      </c>
      <c r="P99" s="345"/>
      <c r="Q99" s="349">
        <v>-111.95595953302018</v>
      </c>
      <c r="R99" s="344"/>
      <c r="S99" s="350">
        <v>134.23932508615749</v>
      </c>
      <c r="T99" s="345"/>
      <c r="U99" s="349">
        <v>-140.63327515590956</v>
      </c>
      <c r="V99" s="344"/>
      <c r="W99" s="350">
        <v>175.93688710184526</v>
      </c>
      <c r="X99" s="345"/>
      <c r="Y99" s="349">
        <v>-111.51560451315154</v>
      </c>
      <c r="Z99" s="344"/>
      <c r="AA99" s="350">
        <v>165.5934279299872</v>
      </c>
      <c r="AB99" s="345"/>
      <c r="AC99" s="349">
        <v>-112.21391394002501</v>
      </c>
      <c r="AD99" s="344"/>
      <c r="AE99" s="350">
        <v>209.56404638362403</v>
      </c>
      <c r="AF99" s="345"/>
      <c r="AG99" s="349">
        <v>-192.95190857011485</v>
      </c>
      <c r="AH99" s="344"/>
      <c r="AI99" s="350">
        <v>179.95827500539431</v>
      </c>
      <c r="AJ99" s="345"/>
      <c r="AK99" s="349">
        <v>-192.41697918879865</v>
      </c>
      <c r="AL99" s="344"/>
      <c r="AM99" s="350">
        <v>246.87832918990077</v>
      </c>
      <c r="AN99" s="345"/>
      <c r="AO99" s="349">
        <v>-227.93128393991014</v>
      </c>
      <c r="AP99" s="344"/>
      <c r="AQ99" s="350">
        <v>194.29009016997185</v>
      </c>
      <c r="AR99" s="345"/>
      <c r="AS99" s="349">
        <v>-168.91538654010918</v>
      </c>
      <c r="AT99" s="344"/>
      <c r="AU99" s="350">
        <v>257.51327537006136</v>
      </c>
      <c r="AV99" s="345"/>
      <c r="AW99" s="351">
        <v>-237.36452218154125</v>
      </c>
      <c r="AX99" s="346"/>
      <c r="AY99" s="350">
        <v>186.94590911154029</v>
      </c>
      <c r="AZ99" s="345"/>
      <c r="BA99" s="349">
        <v>-268.72732453000214</v>
      </c>
      <c r="BB99" s="344"/>
      <c r="BC99" s="350">
        <v>380.48469960000932</v>
      </c>
      <c r="BD99" s="345"/>
      <c r="BE99" s="349">
        <v>-343.30566021999653</v>
      </c>
      <c r="BF99" s="344"/>
      <c r="BG99" s="350">
        <v>263.49284449003164</v>
      </c>
      <c r="BH99" s="345"/>
      <c r="BI99" s="349">
        <v>-296.59028785003204</v>
      </c>
      <c r="BJ99" s="344"/>
      <c r="BK99" s="350">
        <v>214.01326172002729</v>
      </c>
      <c r="BL99" s="345"/>
      <c r="BM99" s="349">
        <v>-203.12385677999202</v>
      </c>
      <c r="BN99" s="344"/>
      <c r="BO99" s="350">
        <v>154.67516067997224</v>
      </c>
      <c r="BP99" s="345"/>
      <c r="BQ99" s="349">
        <v>-168.92436714997982</v>
      </c>
      <c r="BR99" s="344"/>
      <c r="BS99" s="350">
        <v>241.47845797997948</v>
      </c>
      <c r="BT99" s="345"/>
      <c r="BU99" s="349">
        <v>-236.70661321003078</v>
      </c>
      <c r="BV99" s="344"/>
      <c r="BW99" s="350">
        <v>53.895806980032233</v>
      </c>
      <c r="BX99" s="345"/>
      <c r="BY99" s="349">
        <v>-114.65608688998572</v>
      </c>
      <c r="BZ99" s="344"/>
      <c r="CA99" s="350">
        <v>183.83996515997873</v>
      </c>
      <c r="CB99" s="345"/>
      <c r="CC99" s="349">
        <v>-66.525351299974147</v>
      </c>
      <c r="CD99" s="344"/>
      <c r="CE99" s="350">
        <v>184.97787942998764</v>
      </c>
      <c r="CF99" s="345"/>
      <c r="CG99" s="349">
        <v>-227.64048328000905</v>
      </c>
      <c r="CH99" s="344"/>
      <c r="CI99" s="350">
        <v>289.26979382992141</v>
      </c>
      <c r="CJ99" s="345"/>
      <c r="CK99" s="349">
        <v>778.74404025007652</v>
      </c>
      <c r="CL99" s="344"/>
      <c r="CM99" s="350">
        <v>615.19521452002186</v>
      </c>
      <c r="CN99" s="345"/>
      <c r="CO99" s="349">
        <v>105.46726382997281</v>
      </c>
      <c r="CP99" s="344"/>
      <c r="CQ99" s="350">
        <v>-7.8520278499927372</v>
      </c>
      <c r="CR99" s="345"/>
      <c r="CS99" s="349">
        <v>-34.906889479993929</v>
      </c>
      <c r="CT99" s="344"/>
      <c r="CU99" s="350">
        <v>-0.99657223997822797</v>
      </c>
      <c r="CV99" s="345"/>
      <c r="CW99" s="349">
        <v>206.52174963000593</v>
      </c>
      <c r="CX99" s="344"/>
      <c r="CY99" s="350">
        <v>0</v>
      </c>
      <c r="CZ99" s="345"/>
      <c r="DA99" s="349">
        <v>0</v>
      </c>
      <c r="DB99" s="344"/>
      <c r="DC99" s="350">
        <v>0</v>
      </c>
      <c r="DD99" s="345"/>
      <c r="DE99" s="349">
        <v>0</v>
      </c>
      <c r="DF99" s="344"/>
      <c r="DG99" s="350">
        <v>0</v>
      </c>
      <c r="DH99" s="345"/>
      <c r="DI99" s="349">
        <v>0</v>
      </c>
      <c r="DJ99" s="344"/>
      <c r="DK99" s="350">
        <v>0</v>
      </c>
      <c r="DL99" s="345"/>
      <c r="DM99" s="349">
        <v>0</v>
      </c>
      <c r="DN99" s="344"/>
      <c r="DO99" s="350">
        <v>0</v>
      </c>
      <c r="DP99" s="345"/>
    </row>
    <row r="100" spans="1:120" s="338" customFormat="1" ht="15" customHeight="1" x14ac:dyDescent="0.2">
      <c r="A100" s="272"/>
      <c r="F100" s="347" t="s">
        <v>624</v>
      </c>
      <c r="G100" s="347"/>
      <c r="H100" s="348"/>
      <c r="I100" s="349">
        <v>0</v>
      </c>
      <c r="J100" s="349">
        <v>67.539091999999982</v>
      </c>
      <c r="K100" s="350">
        <v>0</v>
      </c>
      <c r="L100" s="350">
        <v>-3.2527380000000221</v>
      </c>
      <c r="M100" s="349">
        <v>0</v>
      </c>
      <c r="N100" s="349">
        <v>78.487932000000001</v>
      </c>
      <c r="O100" s="350">
        <v>0</v>
      </c>
      <c r="P100" s="350">
        <v>-32.230047000000013</v>
      </c>
      <c r="Q100" s="349">
        <v>0</v>
      </c>
      <c r="R100" s="349">
        <v>65.461841550000145</v>
      </c>
      <c r="S100" s="350">
        <v>0</v>
      </c>
      <c r="T100" s="350">
        <v>11.339758520000032</v>
      </c>
      <c r="U100" s="349">
        <v>0</v>
      </c>
      <c r="V100" s="349">
        <v>77.558787690000145</v>
      </c>
      <c r="W100" s="350">
        <v>0</v>
      </c>
      <c r="X100" s="350">
        <v>-112.1444381678225</v>
      </c>
      <c r="Y100" s="349">
        <v>0</v>
      </c>
      <c r="Z100" s="349">
        <v>192.03260259782235</v>
      </c>
      <c r="AA100" s="350">
        <v>0</v>
      </c>
      <c r="AB100" s="350">
        <v>92.836470748405986</v>
      </c>
      <c r="AC100" s="349">
        <v>0</v>
      </c>
      <c r="AD100" s="349">
        <v>-111.45232140478379</v>
      </c>
      <c r="AE100" s="350">
        <v>0</v>
      </c>
      <c r="AF100" s="350">
        <v>140.8581689794637</v>
      </c>
      <c r="AG100" s="349">
        <v>0</v>
      </c>
      <c r="AH100" s="349">
        <v>108.89210767953978</v>
      </c>
      <c r="AI100" s="350">
        <v>0</v>
      </c>
      <c r="AJ100" s="350">
        <v>-4.7198871275545571</v>
      </c>
      <c r="AK100" s="349">
        <v>0</v>
      </c>
      <c r="AL100" s="349">
        <v>-38.448409370522768</v>
      </c>
      <c r="AM100" s="350">
        <v>0</v>
      </c>
      <c r="AN100" s="350">
        <v>178.77362734783537</v>
      </c>
      <c r="AO100" s="349">
        <v>0</v>
      </c>
      <c r="AP100" s="349">
        <v>60.552956168179207</v>
      </c>
      <c r="AQ100" s="350">
        <v>0</v>
      </c>
      <c r="AR100" s="350">
        <v>67.705135509436786</v>
      </c>
      <c r="AS100" s="349">
        <v>0</v>
      </c>
      <c r="AT100" s="349">
        <v>325.75063563000049</v>
      </c>
      <c r="AU100" s="350">
        <v>0</v>
      </c>
      <c r="AV100" s="350">
        <v>-75.059668500000498</v>
      </c>
      <c r="AW100" s="351">
        <v>0</v>
      </c>
      <c r="AX100" s="351">
        <v>-397.84638701999984</v>
      </c>
      <c r="AY100" s="350">
        <v>0</v>
      </c>
      <c r="AZ100" s="350">
        <v>196.83683316000042</v>
      </c>
      <c r="BA100" s="349">
        <v>0</v>
      </c>
      <c r="BB100" s="349">
        <v>223.09807564400012</v>
      </c>
      <c r="BC100" s="350">
        <v>0</v>
      </c>
      <c r="BD100" s="350">
        <v>-53.155959914000732</v>
      </c>
      <c r="BE100" s="349">
        <v>0</v>
      </c>
      <c r="BF100" s="349">
        <v>19.007715900000221</v>
      </c>
      <c r="BG100" s="350">
        <v>0</v>
      </c>
      <c r="BH100" s="350">
        <v>-88.101153839999824</v>
      </c>
      <c r="BI100" s="349">
        <v>0</v>
      </c>
      <c r="BJ100" s="349">
        <v>33.136184159999857</v>
      </c>
      <c r="BK100" s="350">
        <v>0</v>
      </c>
      <c r="BL100" s="350">
        <v>151.70474515000001</v>
      </c>
      <c r="BM100" s="349">
        <v>0</v>
      </c>
      <c r="BN100" s="349">
        <v>62.829884539999966</v>
      </c>
      <c r="BO100" s="350">
        <v>0</v>
      </c>
      <c r="BP100" s="350">
        <v>-124.5266709399998</v>
      </c>
      <c r="BQ100" s="349">
        <v>0</v>
      </c>
      <c r="BR100" s="349">
        <v>161.26090853999995</v>
      </c>
      <c r="BS100" s="350">
        <v>0</v>
      </c>
      <c r="BT100" s="350">
        <v>96.804436029999124</v>
      </c>
      <c r="BU100" s="349">
        <v>0</v>
      </c>
      <c r="BV100" s="349">
        <v>311.10614537733045</v>
      </c>
      <c r="BW100" s="350">
        <v>0</v>
      </c>
      <c r="BX100" s="350">
        <v>-253.1887929860427</v>
      </c>
      <c r="BY100" s="349">
        <v>0</v>
      </c>
      <c r="BZ100" s="349">
        <v>-191.40501314455923</v>
      </c>
      <c r="CA100" s="350">
        <v>0</v>
      </c>
      <c r="CB100" s="350">
        <v>157.26585923898483</v>
      </c>
      <c r="CC100" s="349">
        <v>0</v>
      </c>
      <c r="CD100" s="349">
        <v>-80.13482698497819</v>
      </c>
      <c r="CE100" s="350">
        <v>0</v>
      </c>
      <c r="CF100" s="350">
        <v>69.107211021758076</v>
      </c>
      <c r="CG100" s="349">
        <v>0</v>
      </c>
      <c r="CH100" s="349">
        <v>201.80121428179314</v>
      </c>
      <c r="CI100" s="350">
        <v>0</v>
      </c>
      <c r="CJ100" s="350">
        <v>-367.24582318101784</v>
      </c>
      <c r="CK100" s="349">
        <v>0</v>
      </c>
      <c r="CL100" s="349">
        <v>211.91349201312414</v>
      </c>
      <c r="CM100" s="350">
        <v>0</v>
      </c>
      <c r="CN100" s="350">
        <v>-18.768594871998175</v>
      </c>
      <c r="CO100" s="349">
        <v>0</v>
      </c>
      <c r="CP100" s="349">
        <v>440.67768951253902</v>
      </c>
      <c r="CQ100" s="350">
        <v>0</v>
      </c>
      <c r="CR100" s="350">
        <v>-127.58646073922046</v>
      </c>
      <c r="CS100" s="349">
        <v>0</v>
      </c>
      <c r="CT100" s="349">
        <v>386.29059895662613</v>
      </c>
      <c r="CU100" s="350">
        <v>0</v>
      </c>
      <c r="CV100" s="350">
        <v>156.42898675250217</v>
      </c>
      <c r="CW100" s="349">
        <v>0</v>
      </c>
      <c r="CX100" s="349">
        <v>314.03697081228984</v>
      </c>
      <c r="CY100" s="350">
        <v>0</v>
      </c>
      <c r="CZ100" s="350">
        <v>-135.53592641055229</v>
      </c>
      <c r="DA100" s="349">
        <v>0</v>
      </c>
      <c r="DB100" s="349">
        <v>-100.88076593630649</v>
      </c>
      <c r="DC100" s="350">
        <v>0</v>
      </c>
      <c r="DD100" s="350">
        <v>154.26908679187318</v>
      </c>
      <c r="DE100" s="349">
        <v>0</v>
      </c>
      <c r="DF100" s="349">
        <v>113.90318068658326</v>
      </c>
      <c r="DG100" s="350">
        <v>0</v>
      </c>
      <c r="DH100" s="350">
        <v>-208.89274226406542</v>
      </c>
      <c r="DI100" s="349">
        <v>0</v>
      </c>
      <c r="DJ100" s="349">
        <v>342.45606876159536</v>
      </c>
      <c r="DK100" s="350">
        <v>0</v>
      </c>
      <c r="DL100" s="350">
        <v>250.03046154453341</v>
      </c>
      <c r="DM100" s="349">
        <v>0</v>
      </c>
      <c r="DN100" s="349">
        <v>227.5242026097585</v>
      </c>
      <c r="DO100" s="350">
        <v>0</v>
      </c>
      <c r="DP100" s="350">
        <v>158.1335222708849</v>
      </c>
    </row>
    <row r="101" spans="1:120" s="338" customFormat="1" ht="15" customHeight="1" x14ac:dyDescent="0.2">
      <c r="A101" s="272"/>
      <c r="F101" s="347"/>
      <c r="G101" s="347" t="s">
        <v>614</v>
      </c>
      <c r="H101" s="348"/>
      <c r="I101" s="349">
        <v>0</v>
      </c>
      <c r="J101" s="349">
        <v>67.539091999999982</v>
      </c>
      <c r="K101" s="350">
        <v>0</v>
      </c>
      <c r="L101" s="350">
        <v>-3.2527380000000221</v>
      </c>
      <c r="M101" s="349">
        <v>0</v>
      </c>
      <c r="N101" s="349">
        <v>78.487932000000001</v>
      </c>
      <c r="O101" s="350">
        <v>0</v>
      </c>
      <c r="P101" s="350">
        <v>-32.230047000000013</v>
      </c>
      <c r="Q101" s="349">
        <v>0</v>
      </c>
      <c r="R101" s="349">
        <v>65.461841550000145</v>
      </c>
      <c r="S101" s="350">
        <v>0</v>
      </c>
      <c r="T101" s="350">
        <v>11.339758520000032</v>
      </c>
      <c r="U101" s="349">
        <v>0</v>
      </c>
      <c r="V101" s="349">
        <v>77.558787690000145</v>
      </c>
      <c r="W101" s="350">
        <v>0</v>
      </c>
      <c r="X101" s="350">
        <v>-112.1444381678225</v>
      </c>
      <c r="Y101" s="349">
        <v>0</v>
      </c>
      <c r="Z101" s="349">
        <v>192.03260259782235</v>
      </c>
      <c r="AA101" s="350">
        <v>0</v>
      </c>
      <c r="AB101" s="350">
        <v>92.836470748405986</v>
      </c>
      <c r="AC101" s="349">
        <v>0</v>
      </c>
      <c r="AD101" s="349">
        <v>-111.45232140478379</v>
      </c>
      <c r="AE101" s="350">
        <v>0</v>
      </c>
      <c r="AF101" s="350">
        <v>140.8581689794637</v>
      </c>
      <c r="AG101" s="349">
        <v>0</v>
      </c>
      <c r="AH101" s="349">
        <v>108.89210767953978</v>
      </c>
      <c r="AI101" s="350">
        <v>0</v>
      </c>
      <c r="AJ101" s="350">
        <v>-4.7198871275545571</v>
      </c>
      <c r="AK101" s="349">
        <v>0</v>
      </c>
      <c r="AL101" s="349">
        <v>-38.448409370522768</v>
      </c>
      <c r="AM101" s="350">
        <v>0</v>
      </c>
      <c r="AN101" s="350">
        <v>178.77362734783537</v>
      </c>
      <c r="AO101" s="349">
        <v>0</v>
      </c>
      <c r="AP101" s="349">
        <v>60.552956168179207</v>
      </c>
      <c r="AQ101" s="350">
        <v>0</v>
      </c>
      <c r="AR101" s="350">
        <v>67.705135509436786</v>
      </c>
      <c r="AS101" s="349">
        <v>0</v>
      </c>
      <c r="AT101" s="349">
        <v>325.75063563000049</v>
      </c>
      <c r="AU101" s="350">
        <v>0</v>
      </c>
      <c r="AV101" s="350">
        <v>-75.059668500000498</v>
      </c>
      <c r="AW101" s="351">
        <v>0</v>
      </c>
      <c r="AX101" s="351">
        <v>-397.84638701999984</v>
      </c>
      <c r="AY101" s="350">
        <v>0</v>
      </c>
      <c r="AZ101" s="350">
        <v>196.83683316000042</v>
      </c>
      <c r="BA101" s="349">
        <v>0</v>
      </c>
      <c r="BB101" s="349">
        <v>223.09807564400012</v>
      </c>
      <c r="BC101" s="350">
        <v>0</v>
      </c>
      <c r="BD101" s="350">
        <v>-53.155959914000732</v>
      </c>
      <c r="BE101" s="349">
        <v>0</v>
      </c>
      <c r="BF101" s="349">
        <v>19.007715900000221</v>
      </c>
      <c r="BG101" s="350">
        <v>0</v>
      </c>
      <c r="BH101" s="350">
        <v>-88.101153839999824</v>
      </c>
      <c r="BI101" s="349">
        <v>0</v>
      </c>
      <c r="BJ101" s="349">
        <v>33.136184159999857</v>
      </c>
      <c r="BK101" s="350">
        <v>0</v>
      </c>
      <c r="BL101" s="350">
        <v>151.70474515000001</v>
      </c>
      <c r="BM101" s="349">
        <v>0</v>
      </c>
      <c r="BN101" s="349">
        <v>62.829884539999966</v>
      </c>
      <c r="BO101" s="350">
        <v>0</v>
      </c>
      <c r="BP101" s="350">
        <v>-124.5266709399998</v>
      </c>
      <c r="BQ101" s="349">
        <v>0</v>
      </c>
      <c r="BR101" s="349">
        <v>161.26090853999995</v>
      </c>
      <c r="BS101" s="350">
        <v>0</v>
      </c>
      <c r="BT101" s="350">
        <v>96.804436029999124</v>
      </c>
      <c r="BU101" s="349">
        <v>0</v>
      </c>
      <c r="BV101" s="349">
        <v>311.10614537733045</v>
      </c>
      <c r="BW101" s="350">
        <v>0</v>
      </c>
      <c r="BX101" s="350">
        <v>-253.1887929860427</v>
      </c>
      <c r="BY101" s="349">
        <v>0</v>
      </c>
      <c r="BZ101" s="349">
        <v>-191.40501314455923</v>
      </c>
      <c r="CA101" s="350">
        <v>0</v>
      </c>
      <c r="CB101" s="350">
        <v>157.26585923898483</v>
      </c>
      <c r="CC101" s="349">
        <v>0</v>
      </c>
      <c r="CD101" s="349">
        <v>-80.13482698497819</v>
      </c>
      <c r="CE101" s="350">
        <v>0</v>
      </c>
      <c r="CF101" s="350">
        <v>69.107211021758076</v>
      </c>
      <c r="CG101" s="349">
        <v>0</v>
      </c>
      <c r="CH101" s="349">
        <v>201.80121428179314</v>
      </c>
      <c r="CI101" s="350">
        <v>0</v>
      </c>
      <c r="CJ101" s="350">
        <v>-367.24582318101784</v>
      </c>
      <c r="CK101" s="349">
        <v>0</v>
      </c>
      <c r="CL101" s="349">
        <v>211.91349201312414</v>
      </c>
      <c r="CM101" s="350">
        <v>0</v>
      </c>
      <c r="CN101" s="350">
        <v>-18.768594871998175</v>
      </c>
      <c r="CO101" s="349">
        <v>0</v>
      </c>
      <c r="CP101" s="349">
        <v>440.67768951253902</v>
      </c>
      <c r="CQ101" s="350">
        <v>0</v>
      </c>
      <c r="CR101" s="350">
        <v>-127.58646073922046</v>
      </c>
      <c r="CS101" s="349">
        <v>0</v>
      </c>
      <c r="CT101" s="349">
        <v>386.29059895662613</v>
      </c>
      <c r="CU101" s="350">
        <v>0</v>
      </c>
      <c r="CV101" s="350">
        <v>156.42898675250217</v>
      </c>
      <c r="CW101" s="349">
        <v>0</v>
      </c>
      <c r="CX101" s="349">
        <v>314.03697081228984</v>
      </c>
      <c r="CY101" s="350">
        <v>0</v>
      </c>
      <c r="CZ101" s="350">
        <v>-135.53592641055229</v>
      </c>
      <c r="DA101" s="349">
        <v>0</v>
      </c>
      <c r="DB101" s="349">
        <v>-100.88076593630649</v>
      </c>
      <c r="DC101" s="350">
        <v>0</v>
      </c>
      <c r="DD101" s="350">
        <v>154.26908679187318</v>
      </c>
      <c r="DE101" s="349">
        <v>0</v>
      </c>
      <c r="DF101" s="349">
        <v>113.90318068658326</v>
      </c>
      <c r="DG101" s="350">
        <v>0</v>
      </c>
      <c r="DH101" s="350">
        <v>-208.89274226406542</v>
      </c>
      <c r="DI101" s="349">
        <v>0</v>
      </c>
      <c r="DJ101" s="349">
        <v>342.45606876159536</v>
      </c>
      <c r="DK101" s="350">
        <v>0</v>
      </c>
      <c r="DL101" s="350">
        <v>250.03046154453341</v>
      </c>
      <c r="DM101" s="349">
        <v>0</v>
      </c>
      <c r="DN101" s="349">
        <v>227.5242026097585</v>
      </c>
      <c r="DO101" s="350">
        <v>0</v>
      </c>
      <c r="DP101" s="350">
        <v>158.1335222708849</v>
      </c>
    </row>
    <row r="102" spans="1:120" s="338" customFormat="1" ht="15.75" customHeight="1" x14ac:dyDescent="0.2">
      <c r="A102" s="272"/>
      <c r="E102" s="338" t="s">
        <v>633</v>
      </c>
      <c r="H102" s="339"/>
      <c r="I102" s="349">
        <v>0</v>
      </c>
      <c r="J102" s="349">
        <v>0</v>
      </c>
      <c r="K102" s="350">
        <v>0</v>
      </c>
      <c r="L102" s="350">
        <v>0</v>
      </c>
      <c r="M102" s="349">
        <v>0</v>
      </c>
      <c r="N102" s="349">
        <v>0</v>
      </c>
      <c r="O102" s="350">
        <v>0</v>
      </c>
      <c r="P102" s="350">
        <v>0</v>
      </c>
      <c r="Q102" s="349">
        <v>0</v>
      </c>
      <c r="R102" s="349">
        <v>0</v>
      </c>
      <c r="S102" s="350">
        <v>0</v>
      </c>
      <c r="T102" s="350">
        <v>0</v>
      </c>
      <c r="U102" s="349">
        <v>0</v>
      </c>
      <c r="V102" s="349">
        <v>0</v>
      </c>
      <c r="W102" s="350">
        <v>0</v>
      </c>
      <c r="X102" s="350">
        <v>0</v>
      </c>
      <c r="Y102" s="349">
        <v>0</v>
      </c>
      <c r="Z102" s="349">
        <v>0</v>
      </c>
      <c r="AA102" s="350">
        <v>0</v>
      </c>
      <c r="AB102" s="350">
        <v>0</v>
      </c>
      <c r="AC102" s="349">
        <v>0</v>
      </c>
      <c r="AD102" s="349">
        <v>0</v>
      </c>
      <c r="AE102" s="350">
        <v>0</v>
      </c>
      <c r="AF102" s="350">
        <v>0</v>
      </c>
      <c r="AG102" s="349">
        <v>0</v>
      </c>
      <c r="AH102" s="349">
        <v>0</v>
      </c>
      <c r="AI102" s="350">
        <v>0</v>
      </c>
      <c r="AJ102" s="350">
        <v>0</v>
      </c>
      <c r="AK102" s="349">
        <v>0</v>
      </c>
      <c r="AL102" s="349">
        <v>0</v>
      </c>
      <c r="AM102" s="350">
        <v>0</v>
      </c>
      <c r="AN102" s="350">
        <v>0</v>
      </c>
      <c r="AO102" s="349">
        <v>0</v>
      </c>
      <c r="AP102" s="349">
        <v>0</v>
      </c>
      <c r="AQ102" s="350">
        <v>0</v>
      </c>
      <c r="AR102" s="350">
        <v>0</v>
      </c>
      <c r="AS102" s="349">
        <v>0</v>
      </c>
      <c r="AT102" s="349">
        <v>0</v>
      </c>
      <c r="AU102" s="350">
        <v>0</v>
      </c>
      <c r="AV102" s="350">
        <v>0</v>
      </c>
      <c r="AW102" s="351">
        <v>0</v>
      </c>
      <c r="AX102" s="351">
        <v>0</v>
      </c>
      <c r="AY102" s="350">
        <v>0</v>
      </c>
      <c r="AZ102" s="350">
        <v>0</v>
      </c>
      <c r="BA102" s="349">
        <v>0</v>
      </c>
      <c r="BB102" s="349">
        <v>0</v>
      </c>
      <c r="BC102" s="350">
        <v>0</v>
      </c>
      <c r="BD102" s="350">
        <v>0</v>
      </c>
      <c r="BE102" s="349">
        <v>0</v>
      </c>
      <c r="BF102" s="349">
        <v>0</v>
      </c>
      <c r="BG102" s="350">
        <v>0</v>
      </c>
      <c r="BH102" s="350">
        <v>0</v>
      </c>
      <c r="BI102" s="349">
        <v>0</v>
      </c>
      <c r="BJ102" s="349">
        <v>0</v>
      </c>
      <c r="BK102" s="350">
        <v>0</v>
      </c>
      <c r="BL102" s="350">
        <v>0</v>
      </c>
      <c r="BM102" s="349">
        <v>0</v>
      </c>
      <c r="BN102" s="349">
        <v>0</v>
      </c>
      <c r="BO102" s="350">
        <v>0</v>
      </c>
      <c r="BP102" s="350">
        <v>0</v>
      </c>
      <c r="BQ102" s="349">
        <v>0</v>
      </c>
      <c r="BR102" s="349">
        <v>0</v>
      </c>
      <c r="BS102" s="350">
        <v>0</v>
      </c>
      <c r="BT102" s="350">
        <v>0</v>
      </c>
      <c r="BU102" s="349">
        <v>0</v>
      </c>
      <c r="BV102" s="349">
        <v>0</v>
      </c>
      <c r="BW102" s="350">
        <v>0</v>
      </c>
      <c r="BX102" s="350">
        <v>0</v>
      </c>
      <c r="BY102" s="349">
        <v>0</v>
      </c>
      <c r="BZ102" s="349">
        <v>0</v>
      </c>
      <c r="CA102" s="350">
        <v>0</v>
      </c>
      <c r="CB102" s="350">
        <v>0</v>
      </c>
      <c r="CC102" s="349">
        <v>0</v>
      </c>
      <c r="CD102" s="349">
        <v>0</v>
      </c>
      <c r="CE102" s="350">
        <v>0</v>
      </c>
      <c r="CF102" s="350">
        <v>0</v>
      </c>
      <c r="CG102" s="349">
        <v>786.9015787134299</v>
      </c>
      <c r="CH102" s="349">
        <v>0</v>
      </c>
      <c r="CI102" s="350">
        <v>0</v>
      </c>
      <c r="CJ102" s="350">
        <v>0</v>
      </c>
      <c r="CK102" s="349">
        <v>0</v>
      </c>
      <c r="CL102" s="349">
        <v>0</v>
      </c>
      <c r="CM102" s="350">
        <v>0</v>
      </c>
      <c r="CN102" s="350">
        <v>0</v>
      </c>
      <c r="CO102" s="349">
        <v>0</v>
      </c>
      <c r="CP102" s="349">
        <v>0</v>
      </c>
      <c r="CQ102" s="350">
        <v>0</v>
      </c>
      <c r="CR102" s="350">
        <v>0</v>
      </c>
      <c r="CS102" s="349">
        <v>0</v>
      </c>
      <c r="CT102" s="349">
        <v>0</v>
      </c>
      <c r="CU102" s="350">
        <v>0</v>
      </c>
      <c r="CV102" s="350">
        <v>0</v>
      </c>
      <c r="CW102" s="349">
        <v>0</v>
      </c>
      <c r="CX102" s="349">
        <v>0</v>
      </c>
      <c r="CY102" s="350">
        <v>0</v>
      </c>
      <c r="CZ102" s="350">
        <v>0</v>
      </c>
      <c r="DA102" s="349">
        <v>0</v>
      </c>
      <c r="DB102" s="349">
        <v>0</v>
      </c>
      <c r="DC102" s="350">
        <v>0</v>
      </c>
      <c r="DD102" s="350">
        <v>0</v>
      </c>
      <c r="DE102" s="349">
        <v>0</v>
      </c>
      <c r="DF102" s="349">
        <v>0</v>
      </c>
      <c r="DG102" s="350">
        <v>0</v>
      </c>
      <c r="DH102" s="350">
        <v>0</v>
      </c>
      <c r="DI102" s="349">
        <v>0</v>
      </c>
      <c r="DJ102" s="349">
        <v>0</v>
      </c>
      <c r="DK102" s="350">
        <v>0</v>
      </c>
      <c r="DL102" s="350">
        <v>0</v>
      </c>
      <c r="DM102" s="349">
        <v>0</v>
      </c>
      <c r="DN102" s="349">
        <v>0</v>
      </c>
      <c r="DO102" s="350">
        <v>0</v>
      </c>
      <c r="DP102" s="350">
        <v>0</v>
      </c>
    </row>
    <row r="103" spans="1:120" ht="15" customHeight="1" x14ac:dyDescent="0.2">
      <c r="B103" s="338"/>
      <c r="I103" s="349"/>
      <c r="J103" s="349"/>
      <c r="K103" s="350"/>
      <c r="L103" s="350"/>
      <c r="M103" s="349"/>
      <c r="N103" s="349"/>
      <c r="O103" s="350"/>
      <c r="P103" s="350"/>
      <c r="Q103" s="349"/>
      <c r="R103" s="349"/>
      <c r="S103" s="350"/>
      <c r="T103" s="350"/>
      <c r="U103" s="349"/>
      <c r="V103" s="349"/>
      <c r="W103" s="350"/>
      <c r="X103" s="350"/>
      <c r="Y103" s="349"/>
      <c r="Z103" s="349"/>
      <c r="AA103" s="350"/>
      <c r="AB103" s="350"/>
      <c r="AC103" s="349"/>
      <c r="AD103" s="349"/>
      <c r="AE103" s="350"/>
      <c r="AF103" s="350"/>
      <c r="AG103" s="349"/>
      <c r="AH103" s="349"/>
      <c r="AI103" s="350"/>
      <c r="AJ103" s="350"/>
      <c r="AK103" s="349"/>
      <c r="AL103" s="349"/>
      <c r="AM103" s="350"/>
      <c r="AN103" s="350"/>
      <c r="AO103" s="349"/>
      <c r="AP103" s="349"/>
      <c r="AQ103" s="350"/>
      <c r="AR103" s="350"/>
      <c r="AS103" s="349"/>
      <c r="AT103" s="349"/>
      <c r="AU103" s="350"/>
      <c r="AV103" s="350"/>
      <c r="AW103" s="351"/>
      <c r="AX103" s="351"/>
      <c r="AY103" s="350"/>
      <c r="AZ103" s="350"/>
      <c r="BA103" s="349"/>
      <c r="BB103" s="349"/>
      <c r="BC103" s="350"/>
      <c r="BD103" s="350"/>
      <c r="BE103" s="349"/>
      <c r="BF103" s="349"/>
      <c r="BG103" s="350"/>
      <c r="BH103" s="350"/>
      <c r="BI103" s="349"/>
      <c r="BJ103" s="349"/>
      <c r="BK103" s="350"/>
      <c r="BL103" s="350"/>
      <c r="BM103" s="349"/>
      <c r="BN103" s="349"/>
      <c r="BO103" s="350"/>
      <c r="BP103" s="350"/>
      <c r="BQ103" s="349"/>
      <c r="BR103" s="349"/>
      <c r="BS103" s="350"/>
      <c r="BT103" s="350"/>
      <c r="BU103" s="349"/>
      <c r="BV103" s="349"/>
      <c r="BW103" s="350"/>
      <c r="BX103" s="350"/>
      <c r="BY103" s="349"/>
      <c r="BZ103" s="349"/>
      <c r="CA103" s="350"/>
      <c r="CB103" s="350"/>
      <c r="CC103" s="349"/>
      <c r="CD103" s="349"/>
      <c r="CE103" s="350"/>
      <c r="CF103" s="350"/>
      <c r="CG103" s="349"/>
      <c r="CH103" s="349"/>
      <c r="CI103" s="350"/>
      <c r="CJ103" s="350"/>
      <c r="CK103" s="349"/>
      <c r="CL103" s="349"/>
      <c r="CM103" s="350"/>
      <c r="CN103" s="350"/>
      <c r="CO103" s="349"/>
      <c r="CP103" s="349"/>
      <c r="CQ103" s="350"/>
      <c r="CR103" s="350"/>
      <c r="CS103" s="349"/>
      <c r="CT103" s="349"/>
      <c r="CU103" s="350"/>
      <c r="CV103" s="350"/>
      <c r="CW103" s="349"/>
      <c r="CX103" s="349"/>
      <c r="CY103" s="350"/>
      <c r="CZ103" s="350"/>
      <c r="DA103" s="349"/>
      <c r="DB103" s="349"/>
      <c r="DC103" s="350"/>
      <c r="DD103" s="350"/>
      <c r="DE103" s="349"/>
      <c r="DF103" s="349"/>
      <c r="DG103" s="350"/>
      <c r="DH103" s="350"/>
      <c r="DI103" s="349"/>
      <c r="DJ103" s="349"/>
      <c r="DK103" s="350"/>
      <c r="DL103" s="350"/>
      <c r="DM103" s="349"/>
      <c r="DN103" s="349"/>
      <c r="DO103" s="350"/>
      <c r="DP103" s="350"/>
    </row>
    <row r="104" spans="1:120" s="338" customFormat="1" ht="15" customHeight="1" x14ac:dyDescent="0.2">
      <c r="A104" s="272"/>
      <c r="D104" s="338" t="s">
        <v>541</v>
      </c>
      <c r="H104" s="339"/>
      <c r="I104" s="344"/>
      <c r="J104" s="344">
        <v>189.57119218634449</v>
      </c>
      <c r="K104" s="345"/>
      <c r="L104" s="345">
        <v>344.82546013376214</v>
      </c>
      <c r="M104" s="344"/>
      <c r="N104" s="344">
        <v>590.83954184078732</v>
      </c>
      <c r="O104" s="345"/>
      <c r="P104" s="345">
        <v>-364.82710352437687</v>
      </c>
      <c r="Q104" s="344"/>
      <c r="R104" s="344">
        <v>-262.58772587906026</v>
      </c>
      <c r="S104" s="345"/>
      <c r="T104" s="345">
        <v>241.37790247332714</v>
      </c>
      <c r="U104" s="344"/>
      <c r="V104" s="344">
        <v>389.31400181704117</v>
      </c>
      <c r="W104" s="345"/>
      <c r="X104" s="345">
        <v>743.59179257031417</v>
      </c>
      <c r="Y104" s="344"/>
      <c r="Z104" s="344">
        <v>1131.92682174883</v>
      </c>
      <c r="AA104" s="345"/>
      <c r="AB104" s="345">
        <v>1331.4244968178079</v>
      </c>
      <c r="AC104" s="344"/>
      <c r="AD104" s="344">
        <v>-655.19610323608526</v>
      </c>
      <c r="AE104" s="345"/>
      <c r="AF104" s="345">
        <v>-259.66493071460269</v>
      </c>
      <c r="AG104" s="344"/>
      <c r="AH104" s="344">
        <v>-785.90627971847141</v>
      </c>
      <c r="AI104" s="345"/>
      <c r="AJ104" s="345">
        <v>1007.7429052950971</v>
      </c>
      <c r="AK104" s="344"/>
      <c r="AL104" s="344">
        <v>-544.38268665324449</v>
      </c>
      <c r="AM104" s="345"/>
      <c r="AN104" s="345">
        <v>676.95426560048679</v>
      </c>
      <c r="AO104" s="344"/>
      <c r="AP104" s="344">
        <v>-1134.3794599115563</v>
      </c>
      <c r="AQ104" s="345"/>
      <c r="AR104" s="345">
        <v>-865.14792739564132</v>
      </c>
      <c r="AS104" s="344"/>
      <c r="AT104" s="344">
        <v>1505.151562610673</v>
      </c>
      <c r="AU104" s="345"/>
      <c r="AV104" s="345">
        <v>22.311181128564353</v>
      </c>
      <c r="AW104" s="346"/>
      <c r="AX104" s="346">
        <v>-705.79502219963376</v>
      </c>
      <c r="AY104" s="345"/>
      <c r="AZ104" s="345">
        <v>1976.2240875487082</v>
      </c>
      <c r="BA104" s="344"/>
      <c r="BB104" s="344">
        <v>652.48833957846284</v>
      </c>
      <c r="BC104" s="345"/>
      <c r="BD104" s="345">
        <v>861.37596177001058</v>
      </c>
      <c r="BE104" s="344"/>
      <c r="BF104" s="344">
        <v>-626.2833366123798</v>
      </c>
      <c r="BG104" s="345"/>
      <c r="BH104" s="345">
        <v>1974.2279481926696</v>
      </c>
      <c r="BI104" s="344"/>
      <c r="BJ104" s="344">
        <v>-2053.638772168812</v>
      </c>
      <c r="BK104" s="345"/>
      <c r="BL104" s="345">
        <v>-296.22051954627369</v>
      </c>
      <c r="BM104" s="344"/>
      <c r="BN104" s="344">
        <v>665.12982345014052</v>
      </c>
      <c r="BO104" s="345"/>
      <c r="BP104" s="345">
        <v>1140.1171380018552</v>
      </c>
      <c r="BQ104" s="344"/>
      <c r="BR104" s="344">
        <v>-1255.355620808165</v>
      </c>
      <c r="BS104" s="345"/>
      <c r="BT104" s="345">
        <v>-212.63154926123417</v>
      </c>
      <c r="BU104" s="344"/>
      <c r="BV104" s="344">
        <v>-606.3220333449035</v>
      </c>
      <c r="BW104" s="345"/>
      <c r="BX104" s="345">
        <v>-1025.466034638469</v>
      </c>
      <c r="BY104" s="344"/>
      <c r="BZ104" s="344">
        <v>765.11710051306989</v>
      </c>
      <c r="CA104" s="345"/>
      <c r="CB104" s="345">
        <v>-1124.8476328494257</v>
      </c>
      <c r="CC104" s="344"/>
      <c r="CD104" s="344">
        <v>-1554.5045477641611</v>
      </c>
      <c r="CE104" s="345"/>
      <c r="CF104" s="345">
        <v>-26.431092798531715</v>
      </c>
      <c r="CG104" s="344"/>
      <c r="CH104" s="344">
        <v>-1356.7697779433324</v>
      </c>
      <c r="CI104" s="345"/>
      <c r="CJ104" s="345">
        <v>420.86560614782394</v>
      </c>
      <c r="CK104" s="344"/>
      <c r="CL104" s="344">
        <v>-1224.4597388002535</v>
      </c>
      <c r="CM104" s="345"/>
      <c r="CN104" s="345">
        <v>-53.706353278206713</v>
      </c>
      <c r="CO104" s="344"/>
      <c r="CP104" s="344">
        <v>-69.594506530256496</v>
      </c>
      <c r="CQ104" s="345"/>
      <c r="CR104" s="345">
        <v>113.9588238845361</v>
      </c>
      <c r="CS104" s="344"/>
      <c r="CT104" s="344">
        <v>796.23758197885343</v>
      </c>
      <c r="CU104" s="345"/>
      <c r="CV104" s="345">
        <v>1040.866391845721</v>
      </c>
      <c r="CW104" s="344"/>
      <c r="CX104" s="344">
        <v>-185.54347908404688</v>
      </c>
      <c r="CY104" s="345"/>
      <c r="CZ104" s="345">
        <v>806.88090080141887</v>
      </c>
      <c r="DA104" s="344"/>
      <c r="DB104" s="344">
        <v>552.54928424688865</v>
      </c>
      <c r="DC104" s="345"/>
      <c r="DD104" s="345">
        <v>682.48129254025946</v>
      </c>
      <c r="DE104" s="344"/>
      <c r="DF104" s="344">
        <v>281.12325192038503</v>
      </c>
      <c r="DG104" s="345"/>
      <c r="DH104" s="345">
        <v>166.24423153755009</v>
      </c>
      <c r="DI104" s="344"/>
      <c r="DJ104" s="344">
        <v>380.17541449107148</v>
      </c>
      <c r="DK104" s="345"/>
      <c r="DL104" s="345">
        <v>-452.15440053661854</v>
      </c>
      <c r="DM104" s="344"/>
      <c r="DN104" s="344">
        <v>154.59304688147196</v>
      </c>
      <c r="DO104" s="345"/>
      <c r="DP104" s="345">
        <v>535.60239913223734</v>
      </c>
    </row>
    <row r="105" spans="1:120" ht="15" customHeight="1" x14ac:dyDescent="0.2">
      <c r="E105" s="347" t="s">
        <v>634</v>
      </c>
      <c r="I105" s="349"/>
      <c r="J105" s="349">
        <v>44.431704754999998</v>
      </c>
      <c r="K105" s="350"/>
      <c r="L105" s="350">
        <v>44.431704754999998</v>
      </c>
      <c r="M105" s="349"/>
      <c r="N105" s="349">
        <v>44.431704754999998</v>
      </c>
      <c r="O105" s="350"/>
      <c r="P105" s="350">
        <v>44.431704754999998</v>
      </c>
      <c r="Q105" s="349"/>
      <c r="R105" s="349">
        <v>161.24438599999996</v>
      </c>
      <c r="S105" s="350"/>
      <c r="T105" s="350">
        <v>111.06050699999999</v>
      </c>
      <c r="U105" s="349"/>
      <c r="V105" s="349">
        <v>80.892404999999954</v>
      </c>
      <c r="W105" s="350"/>
      <c r="X105" s="350">
        <v>-2.3956540000000288</v>
      </c>
      <c r="Y105" s="349"/>
      <c r="Z105" s="349">
        <v>-53.029709999999994</v>
      </c>
      <c r="AA105" s="350"/>
      <c r="AB105" s="350">
        <v>23.891312000000113</v>
      </c>
      <c r="AC105" s="349"/>
      <c r="AD105" s="349">
        <v>38.157624999999982</v>
      </c>
      <c r="AE105" s="350"/>
      <c r="AF105" s="350">
        <v>0</v>
      </c>
      <c r="AG105" s="349"/>
      <c r="AH105" s="349">
        <v>-38.942</v>
      </c>
      <c r="AI105" s="350"/>
      <c r="AJ105" s="350">
        <v>0</v>
      </c>
      <c r="AK105" s="349"/>
      <c r="AL105" s="349">
        <v>0</v>
      </c>
      <c r="AM105" s="350"/>
      <c r="AN105" s="350">
        <v>0</v>
      </c>
      <c r="AO105" s="349"/>
      <c r="AP105" s="349">
        <v>0</v>
      </c>
      <c r="AQ105" s="350"/>
      <c r="AR105" s="350">
        <v>0</v>
      </c>
      <c r="AS105" s="349"/>
      <c r="AT105" s="349">
        <v>0</v>
      </c>
      <c r="AU105" s="350"/>
      <c r="AV105" s="350">
        <v>0</v>
      </c>
      <c r="AW105" s="351"/>
      <c r="AX105" s="351">
        <v>0</v>
      </c>
      <c r="AY105" s="350"/>
      <c r="AZ105" s="350">
        <v>0</v>
      </c>
      <c r="BA105" s="349"/>
      <c r="BB105" s="349">
        <v>0</v>
      </c>
      <c r="BC105" s="350"/>
      <c r="BD105" s="350">
        <v>0</v>
      </c>
      <c r="BE105" s="349"/>
      <c r="BF105" s="349">
        <v>-53.679099999999998</v>
      </c>
      <c r="BG105" s="350"/>
      <c r="BH105" s="350">
        <v>-49.563769000000001</v>
      </c>
      <c r="BI105" s="349"/>
      <c r="BJ105" s="349">
        <v>0</v>
      </c>
      <c r="BK105" s="350"/>
      <c r="BL105" s="350">
        <v>0</v>
      </c>
      <c r="BM105" s="349"/>
      <c r="BN105" s="349">
        <v>0</v>
      </c>
      <c r="BO105" s="350"/>
      <c r="BP105" s="350">
        <v>0</v>
      </c>
      <c r="BQ105" s="349"/>
      <c r="BR105" s="349">
        <v>-14.460229</v>
      </c>
      <c r="BS105" s="350"/>
      <c r="BT105" s="350">
        <v>0</v>
      </c>
      <c r="BU105" s="349"/>
      <c r="BV105" s="349">
        <v>-667.28106500000001</v>
      </c>
      <c r="BW105" s="350"/>
      <c r="BX105" s="350">
        <v>0</v>
      </c>
      <c r="BY105" s="349"/>
      <c r="BZ105" s="349">
        <v>0</v>
      </c>
      <c r="CA105" s="350"/>
      <c r="CB105" s="350">
        <v>0</v>
      </c>
      <c r="CC105" s="349"/>
      <c r="CD105" s="349">
        <v>0</v>
      </c>
      <c r="CE105" s="350"/>
      <c r="CF105" s="350">
        <v>0</v>
      </c>
      <c r="CG105" s="349"/>
      <c r="CH105" s="349">
        <v>0</v>
      </c>
      <c r="CI105" s="350"/>
      <c r="CJ105" s="350">
        <v>-212.18815599999999</v>
      </c>
      <c r="CK105" s="349"/>
      <c r="CL105" s="349">
        <v>-151.75249400000001</v>
      </c>
      <c r="CM105" s="350"/>
      <c r="CN105" s="350">
        <v>0</v>
      </c>
      <c r="CO105" s="349"/>
      <c r="CP105" s="349">
        <v>0</v>
      </c>
      <c r="CQ105" s="350"/>
      <c r="CR105" s="350">
        <v>0</v>
      </c>
      <c r="CS105" s="349"/>
      <c r="CT105" s="349">
        <v>0</v>
      </c>
      <c r="CU105" s="350"/>
      <c r="CV105" s="350">
        <v>0</v>
      </c>
      <c r="CW105" s="349"/>
      <c r="CX105" s="349">
        <v>0</v>
      </c>
      <c r="CY105" s="350"/>
      <c r="CZ105" s="350">
        <v>0</v>
      </c>
      <c r="DA105" s="349"/>
      <c r="DB105" s="349">
        <v>0</v>
      </c>
      <c r="DC105" s="350"/>
      <c r="DD105" s="350">
        <v>0</v>
      </c>
      <c r="DE105" s="349"/>
      <c r="DF105" s="349">
        <v>0</v>
      </c>
      <c r="DG105" s="350"/>
      <c r="DH105" s="350">
        <v>0</v>
      </c>
      <c r="DI105" s="349"/>
      <c r="DJ105" s="349">
        <v>0</v>
      </c>
      <c r="DK105" s="350"/>
      <c r="DL105" s="350">
        <v>0</v>
      </c>
      <c r="DM105" s="349"/>
      <c r="DN105" s="349">
        <v>0</v>
      </c>
      <c r="DO105" s="350"/>
      <c r="DP105" s="350">
        <v>19.407119999999999</v>
      </c>
    </row>
    <row r="106" spans="1:120" s="348" customFormat="1" ht="15" customHeight="1" x14ac:dyDescent="0.2">
      <c r="A106" s="272"/>
      <c r="B106" s="347"/>
      <c r="C106" s="347"/>
      <c r="D106" s="347"/>
      <c r="E106" s="347" t="s">
        <v>635</v>
      </c>
      <c r="F106" s="347"/>
      <c r="G106" s="347"/>
      <c r="I106" s="362"/>
      <c r="J106" s="362">
        <v>0.15778189823999966</v>
      </c>
      <c r="K106" s="363"/>
      <c r="L106" s="363">
        <v>0.82885827705999748</v>
      </c>
      <c r="M106" s="362"/>
      <c r="N106" s="362">
        <v>-1.6273124059800006</v>
      </c>
      <c r="O106" s="363"/>
      <c r="P106" s="363">
        <v>0.15778141662999801</v>
      </c>
      <c r="Q106" s="362"/>
      <c r="R106" s="362">
        <v>15.552774236030002</v>
      </c>
      <c r="S106" s="363"/>
      <c r="T106" s="363">
        <v>3.3645860138199968</v>
      </c>
      <c r="U106" s="362"/>
      <c r="V106" s="362">
        <v>0.56879728298000032</v>
      </c>
      <c r="W106" s="363"/>
      <c r="X106" s="363">
        <v>-7.8760259071999998</v>
      </c>
      <c r="Y106" s="362"/>
      <c r="Z106" s="362">
        <v>-7.0999590097012897</v>
      </c>
      <c r="AA106" s="363"/>
      <c r="AB106" s="363">
        <v>0.42330610092756515</v>
      </c>
      <c r="AC106" s="362"/>
      <c r="AD106" s="362">
        <v>0.46902648364736699</v>
      </c>
      <c r="AE106" s="363"/>
      <c r="AF106" s="363">
        <v>0.46473034202122498</v>
      </c>
      <c r="AG106" s="362"/>
      <c r="AH106" s="362">
        <v>0.12724553586155005</v>
      </c>
      <c r="AI106" s="363"/>
      <c r="AJ106" s="363">
        <v>2.8316068799966505</v>
      </c>
      <c r="AK106" s="362"/>
      <c r="AL106" s="362">
        <v>-2.6914182997840652</v>
      </c>
      <c r="AM106" s="363"/>
      <c r="AN106" s="363">
        <v>-2.2258553929475711</v>
      </c>
      <c r="AO106" s="362"/>
      <c r="AP106" s="362">
        <v>0.10931837007170321</v>
      </c>
      <c r="AQ106" s="363"/>
      <c r="AR106" s="363">
        <v>-2.8025558190830075</v>
      </c>
      <c r="AS106" s="362"/>
      <c r="AT106" s="362">
        <v>-1.9790562084275765E-2</v>
      </c>
      <c r="AU106" s="363"/>
      <c r="AV106" s="363">
        <v>-1.9232522777762759</v>
      </c>
      <c r="AW106" s="364"/>
      <c r="AX106" s="364">
        <v>-1.8956990964363638</v>
      </c>
      <c r="AY106" s="363"/>
      <c r="AZ106" s="363">
        <v>7.8776665793818423E-2</v>
      </c>
      <c r="BA106" s="362"/>
      <c r="BB106" s="362">
        <v>2.0181728362138558</v>
      </c>
      <c r="BC106" s="363"/>
      <c r="BD106" s="363">
        <v>2.1278605294901705</v>
      </c>
      <c r="BE106" s="362"/>
      <c r="BF106" s="362">
        <v>-3.9675377872924571</v>
      </c>
      <c r="BG106" s="363"/>
      <c r="BH106" s="363">
        <v>5.7636756331316281</v>
      </c>
      <c r="BI106" s="362"/>
      <c r="BJ106" s="362">
        <v>-5.6978518547001666</v>
      </c>
      <c r="BK106" s="363"/>
      <c r="BL106" s="363">
        <v>0.70782986429652972</v>
      </c>
      <c r="BM106" s="362"/>
      <c r="BN106" s="362">
        <v>-0.81973242717999906</v>
      </c>
      <c r="BO106" s="363"/>
      <c r="BP106" s="363">
        <v>6.9026692094100008</v>
      </c>
      <c r="BQ106" s="362"/>
      <c r="BR106" s="362">
        <v>0.12032772676000025</v>
      </c>
      <c r="BS106" s="363"/>
      <c r="BT106" s="363">
        <v>-6.1868365600000003E-2</v>
      </c>
      <c r="BU106" s="362"/>
      <c r="BV106" s="362">
        <v>-6.763391640480001</v>
      </c>
      <c r="BW106" s="363"/>
      <c r="BX106" s="363">
        <v>2.1455734063199996</v>
      </c>
      <c r="BY106" s="362"/>
      <c r="BZ106" s="362">
        <v>-5.5103613939999185E-2</v>
      </c>
      <c r="CA106" s="363"/>
      <c r="CB106" s="363">
        <v>-0.15876575999000098</v>
      </c>
      <c r="CC106" s="362"/>
      <c r="CD106" s="362">
        <v>0.15346538990000047</v>
      </c>
      <c r="CE106" s="363"/>
      <c r="CF106" s="363">
        <v>5.8783381099500005</v>
      </c>
      <c r="CG106" s="362"/>
      <c r="CH106" s="362">
        <v>120.71760339756003</v>
      </c>
      <c r="CI106" s="363"/>
      <c r="CJ106" s="363">
        <v>-3.5405248016000002</v>
      </c>
      <c r="CK106" s="362"/>
      <c r="CL106" s="362">
        <v>-3.5966130333600002</v>
      </c>
      <c r="CM106" s="363"/>
      <c r="CN106" s="363">
        <v>-98.452290899507162</v>
      </c>
      <c r="CO106" s="362"/>
      <c r="CP106" s="362">
        <v>-7.6901398973399999</v>
      </c>
      <c r="CQ106" s="363"/>
      <c r="CR106" s="363">
        <v>-8.7126972152799986</v>
      </c>
      <c r="CS106" s="362"/>
      <c r="CT106" s="362">
        <v>26.960489316689998</v>
      </c>
      <c r="CU106" s="363"/>
      <c r="CV106" s="363">
        <v>-23.666832617660003</v>
      </c>
      <c r="CW106" s="362"/>
      <c r="CX106" s="362">
        <v>0.45884701474000522</v>
      </c>
      <c r="CY106" s="363"/>
      <c r="CZ106" s="363">
        <v>28.859769070052863</v>
      </c>
      <c r="DA106" s="362"/>
      <c r="DB106" s="362">
        <v>-32.681434078872606</v>
      </c>
      <c r="DC106" s="363"/>
      <c r="DD106" s="363">
        <v>-0.44405978488999398</v>
      </c>
      <c r="DE106" s="362"/>
      <c r="DF106" s="362">
        <v>-0.53007775062000206</v>
      </c>
      <c r="DG106" s="363"/>
      <c r="DH106" s="363">
        <v>3.3846304225600079</v>
      </c>
      <c r="DI106" s="362"/>
      <c r="DJ106" s="365">
        <v>0.11091995744000283</v>
      </c>
      <c r="DK106" s="363"/>
      <c r="DL106" s="363">
        <v>-1.1979887249100081</v>
      </c>
      <c r="DM106" s="362"/>
      <c r="DN106" s="365">
        <v>-1.7030126453100003</v>
      </c>
      <c r="DO106" s="363"/>
      <c r="DP106" s="363">
        <v>8.8719205469999896E-2</v>
      </c>
    </row>
    <row r="107" spans="1:120" s="348" customFormat="1" ht="15" customHeight="1" x14ac:dyDescent="0.2">
      <c r="A107" s="272"/>
      <c r="B107" s="347"/>
      <c r="C107" s="347"/>
      <c r="D107" s="347"/>
      <c r="E107" s="347" t="s">
        <v>636</v>
      </c>
      <c r="F107" s="347"/>
      <c r="G107" s="347"/>
      <c r="I107" s="362"/>
      <c r="J107" s="362"/>
      <c r="K107" s="363"/>
      <c r="L107" s="363"/>
      <c r="M107" s="362"/>
      <c r="N107" s="362"/>
      <c r="O107" s="363"/>
      <c r="P107" s="363"/>
      <c r="Q107" s="362"/>
      <c r="R107" s="362"/>
      <c r="S107" s="363"/>
      <c r="T107" s="363"/>
      <c r="U107" s="362"/>
      <c r="V107" s="362"/>
      <c r="W107" s="363"/>
      <c r="X107" s="363"/>
      <c r="Y107" s="362"/>
      <c r="Z107" s="362"/>
      <c r="AA107" s="363"/>
      <c r="AB107" s="363"/>
      <c r="AC107" s="362"/>
      <c r="AD107" s="362"/>
      <c r="AE107" s="363"/>
      <c r="AF107" s="363"/>
      <c r="AG107" s="362"/>
      <c r="AH107" s="362"/>
      <c r="AI107" s="363"/>
      <c r="AJ107" s="363"/>
      <c r="AK107" s="362"/>
      <c r="AL107" s="362"/>
      <c r="AM107" s="363"/>
      <c r="AN107" s="363"/>
      <c r="AO107" s="362"/>
      <c r="AP107" s="362"/>
      <c r="AQ107" s="363"/>
      <c r="AR107" s="363"/>
      <c r="AS107" s="362"/>
      <c r="AT107" s="362"/>
      <c r="AU107" s="363"/>
      <c r="AV107" s="363"/>
      <c r="AW107" s="364"/>
      <c r="AX107" s="364"/>
      <c r="AY107" s="363"/>
      <c r="AZ107" s="363"/>
      <c r="BA107" s="362"/>
      <c r="BB107" s="362"/>
      <c r="BC107" s="363"/>
      <c r="BD107" s="363"/>
      <c r="BE107" s="362"/>
      <c r="BF107" s="362"/>
      <c r="BG107" s="363"/>
      <c r="BH107" s="363"/>
      <c r="BI107" s="362"/>
      <c r="BJ107" s="362"/>
      <c r="BK107" s="363"/>
      <c r="BL107" s="363"/>
      <c r="BM107" s="362"/>
      <c r="BN107" s="362"/>
      <c r="BO107" s="363"/>
      <c r="BP107" s="363"/>
      <c r="BQ107" s="362"/>
      <c r="BR107" s="362"/>
      <c r="BS107" s="363"/>
      <c r="BT107" s="363"/>
      <c r="BU107" s="362"/>
      <c r="BV107" s="362"/>
      <c r="BW107" s="363"/>
      <c r="BX107" s="363"/>
      <c r="BY107" s="362"/>
      <c r="BZ107" s="362"/>
      <c r="CA107" s="363"/>
      <c r="CB107" s="363"/>
      <c r="CC107" s="362"/>
      <c r="CD107" s="362"/>
      <c r="CE107" s="363"/>
      <c r="CF107" s="363"/>
      <c r="CG107" s="362"/>
      <c r="CH107" s="362"/>
      <c r="CI107" s="363"/>
      <c r="CJ107" s="363"/>
      <c r="CK107" s="362"/>
      <c r="CL107" s="362">
        <v>0</v>
      </c>
      <c r="CM107" s="363"/>
      <c r="CN107" s="363">
        <v>0</v>
      </c>
      <c r="CO107" s="362"/>
      <c r="CP107" s="362">
        <v>0</v>
      </c>
      <c r="CQ107" s="363"/>
      <c r="CR107" s="363">
        <v>-57.748049999999999</v>
      </c>
      <c r="CS107" s="362"/>
      <c r="CT107" s="362">
        <v>0</v>
      </c>
      <c r="CU107" s="363"/>
      <c r="CV107" s="363">
        <v>0</v>
      </c>
      <c r="CW107" s="362"/>
      <c r="CX107" s="362">
        <v>0</v>
      </c>
      <c r="CY107" s="363"/>
      <c r="CZ107" s="363">
        <v>0</v>
      </c>
      <c r="DA107" s="362"/>
      <c r="DB107" s="362">
        <v>0</v>
      </c>
      <c r="DC107" s="363"/>
      <c r="DD107" s="363">
        <v>0</v>
      </c>
      <c r="DE107" s="362"/>
      <c r="DF107" s="362">
        <v>0</v>
      </c>
      <c r="DG107" s="363"/>
      <c r="DH107" s="363">
        <v>0</v>
      </c>
      <c r="DI107" s="362"/>
      <c r="DJ107" s="362">
        <v>0</v>
      </c>
      <c r="DK107" s="363"/>
      <c r="DL107" s="363">
        <v>0</v>
      </c>
      <c r="DM107" s="362"/>
      <c r="DN107" s="362">
        <v>0</v>
      </c>
      <c r="DO107" s="363"/>
      <c r="DP107" s="363">
        <v>0</v>
      </c>
    </row>
    <row r="108" spans="1:120" s="348" customFormat="1" ht="15" customHeight="1" x14ac:dyDescent="0.2">
      <c r="A108" s="272"/>
      <c r="B108" s="347"/>
      <c r="C108" s="347"/>
      <c r="D108" s="347"/>
      <c r="E108" s="347" t="s">
        <v>637</v>
      </c>
      <c r="F108" s="347"/>
      <c r="G108" s="347"/>
      <c r="I108" s="362"/>
      <c r="J108" s="362">
        <v>144.9817055331045</v>
      </c>
      <c r="K108" s="363"/>
      <c r="L108" s="363">
        <v>299.56489710170212</v>
      </c>
      <c r="M108" s="362"/>
      <c r="N108" s="362">
        <v>548.03514949176736</v>
      </c>
      <c r="O108" s="363"/>
      <c r="P108" s="363">
        <v>-409.41658969600689</v>
      </c>
      <c r="Q108" s="362"/>
      <c r="R108" s="362">
        <v>-439.38488611509024</v>
      </c>
      <c r="S108" s="363"/>
      <c r="T108" s="363">
        <v>126.95280945950714</v>
      </c>
      <c r="U108" s="362"/>
      <c r="V108" s="362">
        <v>307.85279953406121</v>
      </c>
      <c r="W108" s="363"/>
      <c r="X108" s="363">
        <v>753.86347247751416</v>
      </c>
      <c r="Y108" s="362"/>
      <c r="Z108" s="362">
        <v>1192.0564907585313</v>
      </c>
      <c r="AA108" s="363"/>
      <c r="AB108" s="363">
        <v>1307.1098787168803</v>
      </c>
      <c r="AC108" s="362"/>
      <c r="AD108" s="362">
        <v>-693.82275471973264</v>
      </c>
      <c r="AE108" s="363"/>
      <c r="AF108" s="363">
        <v>-260.12966105662389</v>
      </c>
      <c r="AG108" s="362"/>
      <c r="AH108" s="362">
        <v>-747.09152525433296</v>
      </c>
      <c r="AI108" s="363"/>
      <c r="AJ108" s="363">
        <v>1004.9112984151004</v>
      </c>
      <c r="AK108" s="362"/>
      <c r="AL108" s="362">
        <v>-541.69126835346037</v>
      </c>
      <c r="AM108" s="363"/>
      <c r="AN108" s="363">
        <v>679.18012099343434</v>
      </c>
      <c r="AO108" s="362"/>
      <c r="AP108" s="362">
        <v>-1134.4887782816279</v>
      </c>
      <c r="AQ108" s="363"/>
      <c r="AR108" s="363">
        <v>-862.34537157655836</v>
      </c>
      <c r="AS108" s="362"/>
      <c r="AT108" s="362">
        <v>1505.1713531727573</v>
      </c>
      <c r="AU108" s="363"/>
      <c r="AV108" s="363">
        <v>24.234433406340628</v>
      </c>
      <c r="AW108" s="364"/>
      <c r="AX108" s="364">
        <v>-703.89932310319739</v>
      </c>
      <c r="AY108" s="363"/>
      <c r="AZ108" s="363">
        <v>1976.1453108829144</v>
      </c>
      <c r="BA108" s="362"/>
      <c r="BB108" s="362">
        <v>650.47016674224903</v>
      </c>
      <c r="BC108" s="363"/>
      <c r="BD108" s="363">
        <v>859.24810124052044</v>
      </c>
      <c r="BE108" s="362"/>
      <c r="BF108" s="362">
        <v>-568.63669882508736</v>
      </c>
      <c r="BG108" s="363"/>
      <c r="BH108" s="363">
        <v>2018.028041559538</v>
      </c>
      <c r="BI108" s="362"/>
      <c r="BJ108" s="362">
        <v>-2047.9409203141117</v>
      </c>
      <c r="BK108" s="363"/>
      <c r="BL108" s="363">
        <v>-296.92834941057021</v>
      </c>
      <c r="BM108" s="362"/>
      <c r="BN108" s="362">
        <v>665.94955587732056</v>
      </c>
      <c r="BO108" s="363"/>
      <c r="BP108" s="363">
        <v>1133.2144687924451</v>
      </c>
      <c r="BQ108" s="362"/>
      <c r="BR108" s="362">
        <v>-1241.015719534925</v>
      </c>
      <c r="BS108" s="363"/>
      <c r="BT108" s="363">
        <v>-212.56968089563418</v>
      </c>
      <c r="BU108" s="362"/>
      <c r="BV108" s="362">
        <v>67.722423295576505</v>
      </c>
      <c r="BW108" s="363"/>
      <c r="BX108" s="363">
        <v>-1027.6116080447889</v>
      </c>
      <c r="BY108" s="362"/>
      <c r="BZ108" s="362">
        <v>765.17220412700988</v>
      </c>
      <c r="CA108" s="363"/>
      <c r="CB108" s="363">
        <v>-1124.6888670894357</v>
      </c>
      <c r="CC108" s="362"/>
      <c r="CD108" s="362">
        <v>-1554.6580131540611</v>
      </c>
      <c r="CE108" s="363"/>
      <c r="CF108" s="363">
        <v>-32.309430908481716</v>
      </c>
      <c r="CG108" s="362"/>
      <c r="CH108" s="362">
        <v>-1477.4873813408924</v>
      </c>
      <c r="CI108" s="363"/>
      <c r="CJ108" s="363">
        <v>636.59428694942392</v>
      </c>
      <c r="CK108" s="362"/>
      <c r="CL108" s="362">
        <v>-1069.1106317668934</v>
      </c>
      <c r="CM108" s="363"/>
      <c r="CN108" s="363">
        <v>44.745937621300449</v>
      </c>
      <c r="CO108" s="362"/>
      <c r="CP108" s="362">
        <v>-61.904366632916492</v>
      </c>
      <c r="CQ108" s="363"/>
      <c r="CR108" s="363">
        <v>180.4195710998161</v>
      </c>
      <c r="CS108" s="362"/>
      <c r="CT108" s="362">
        <v>769.27709266216345</v>
      </c>
      <c r="CU108" s="363"/>
      <c r="CV108" s="363">
        <v>1064.533224463381</v>
      </c>
      <c r="CW108" s="362"/>
      <c r="CX108" s="362">
        <v>-186.00232609878688</v>
      </c>
      <c r="CY108" s="363"/>
      <c r="CZ108" s="363">
        <v>778.02113173136604</v>
      </c>
      <c r="DA108" s="362"/>
      <c r="DB108" s="362">
        <v>585.23071832576125</v>
      </c>
      <c r="DC108" s="363"/>
      <c r="DD108" s="363">
        <v>682.92535232514945</v>
      </c>
      <c r="DE108" s="362"/>
      <c r="DF108" s="362">
        <v>281.65332967100505</v>
      </c>
      <c r="DG108" s="363"/>
      <c r="DH108" s="363">
        <v>162.85960111499008</v>
      </c>
      <c r="DI108" s="362"/>
      <c r="DJ108" s="362">
        <v>380.06449453363149</v>
      </c>
      <c r="DK108" s="363"/>
      <c r="DL108" s="363">
        <v>-450.95641181170851</v>
      </c>
      <c r="DM108" s="362"/>
      <c r="DN108" s="362">
        <v>156.29605952678196</v>
      </c>
      <c r="DO108" s="363"/>
      <c r="DP108" s="363">
        <v>516.10655992676732</v>
      </c>
    </row>
    <row r="109" spans="1:120" s="348" customFormat="1" ht="15" customHeight="1" x14ac:dyDescent="0.2">
      <c r="A109" s="272"/>
      <c r="B109" s="347"/>
      <c r="C109" s="347"/>
      <c r="D109" s="347"/>
      <c r="E109" s="347"/>
      <c r="F109" s="347" t="s">
        <v>638</v>
      </c>
      <c r="G109" s="347"/>
      <c r="I109" s="362"/>
      <c r="J109" s="362">
        <v>-201.14203614712943</v>
      </c>
      <c r="K109" s="363"/>
      <c r="L109" s="363">
        <v>-46.558844578531819</v>
      </c>
      <c r="M109" s="362"/>
      <c r="N109" s="362">
        <v>201.91140781153342</v>
      </c>
      <c r="O109" s="363"/>
      <c r="P109" s="363">
        <v>-755.54033137624083</v>
      </c>
      <c r="Q109" s="362"/>
      <c r="R109" s="362">
        <v>293.61983487516932</v>
      </c>
      <c r="S109" s="363"/>
      <c r="T109" s="363">
        <v>-429.09086513027245</v>
      </c>
      <c r="U109" s="362"/>
      <c r="V109" s="362">
        <v>1066.7836614870894</v>
      </c>
      <c r="W109" s="363"/>
      <c r="X109" s="363">
        <v>365.72958672284778</v>
      </c>
      <c r="Y109" s="362"/>
      <c r="Z109" s="362">
        <v>200.53727121412891</v>
      </c>
      <c r="AA109" s="363"/>
      <c r="AB109" s="363">
        <v>666.98336684292701</v>
      </c>
      <c r="AC109" s="362"/>
      <c r="AD109" s="362">
        <v>18.810998209281479</v>
      </c>
      <c r="AE109" s="363"/>
      <c r="AF109" s="363">
        <v>-390.00779208384182</v>
      </c>
      <c r="AG109" s="362"/>
      <c r="AH109" s="362">
        <v>-1095.6973931272714</v>
      </c>
      <c r="AI109" s="363"/>
      <c r="AJ109" s="363">
        <v>376.50214463179634</v>
      </c>
      <c r="AK109" s="362"/>
      <c r="AL109" s="362">
        <v>205.22668533003548</v>
      </c>
      <c r="AM109" s="363"/>
      <c r="AN109" s="363">
        <v>630.29603978816806</v>
      </c>
      <c r="AO109" s="362"/>
      <c r="AP109" s="362">
        <v>-870.90190161779128</v>
      </c>
      <c r="AQ109" s="363"/>
      <c r="AR109" s="363">
        <v>-697.28096947116376</v>
      </c>
      <c r="AS109" s="362"/>
      <c r="AT109" s="362">
        <v>972.31571022339301</v>
      </c>
      <c r="AU109" s="363"/>
      <c r="AV109" s="363">
        <v>-671.5517024666625</v>
      </c>
      <c r="AW109" s="364"/>
      <c r="AX109" s="364">
        <v>-705.60039152081436</v>
      </c>
      <c r="AY109" s="363"/>
      <c r="AZ109" s="363">
        <v>1909.0381467794555</v>
      </c>
      <c r="BA109" s="362"/>
      <c r="BB109" s="362">
        <v>-849.49647184767446</v>
      </c>
      <c r="BC109" s="363"/>
      <c r="BD109" s="363">
        <v>39.420525938248772</v>
      </c>
      <c r="BE109" s="362"/>
      <c r="BF109" s="362">
        <v>-1435.2479323447278</v>
      </c>
      <c r="BG109" s="363"/>
      <c r="BH109" s="363">
        <v>2012.8318444722763</v>
      </c>
      <c r="BI109" s="362"/>
      <c r="BJ109" s="362">
        <v>-1792.6596056806243</v>
      </c>
      <c r="BK109" s="363"/>
      <c r="BL109" s="363">
        <v>203.76051746447064</v>
      </c>
      <c r="BM109" s="362"/>
      <c r="BN109" s="362">
        <v>934.95042390819708</v>
      </c>
      <c r="BO109" s="363"/>
      <c r="BP109" s="363">
        <v>1222.1404803427904</v>
      </c>
      <c r="BQ109" s="362"/>
      <c r="BR109" s="362">
        <v>-1408.9300986160799</v>
      </c>
      <c r="BS109" s="363"/>
      <c r="BT109" s="363">
        <v>-386.71342346796132</v>
      </c>
      <c r="BU109" s="362"/>
      <c r="BV109" s="362">
        <v>-67.746876699480993</v>
      </c>
      <c r="BW109" s="363"/>
      <c r="BX109" s="363">
        <v>-507.35582806467005</v>
      </c>
      <c r="BY109" s="362"/>
      <c r="BZ109" s="362">
        <v>992.9079625472848</v>
      </c>
      <c r="CA109" s="363"/>
      <c r="CB109" s="363">
        <v>-595.00653928139536</v>
      </c>
      <c r="CC109" s="362"/>
      <c r="CD109" s="362">
        <v>407.63240973679603</v>
      </c>
      <c r="CE109" s="363"/>
      <c r="CF109" s="363">
        <v>1385.4162224568854</v>
      </c>
      <c r="CG109" s="362"/>
      <c r="CH109" s="362">
        <v>-1220.9348599180198</v>
      </c>
      <c r="CI109" s="363"/>
      <c r="CJ109" s="363">
        <v>964.20980436487946</v>
      </c>
      <c r="CK109" s="362"/>
      <c r="CL109" s="362">
        <v>-1068.81714259963</v>
      </c>
      <c r="CM109" s="363"/>
      <c r="CN109" s="363">
        <v>55.448241638655873</v>
      </c>
      <c r="CO109" s="362"/>
      <c r="CP109" s="362">
        <v>-61.878294591770199</v>
      </c>
      <c r="CQ109" s="363"/>
      <c r="CR109" s="363">
        <v>180.37962724356902</v>
      </c>
      <c r="CS109" s="362"/>
      <c r="CT109" s="362">
        <v>767.24321529698773</v>
      </c>
      <c r="CU109" s="363"/>
      <c r="CV109" s="363">
        <v>998.29081016924113</v>
      </c>
      <c r="CW109" s="362"/>
      <c r="CX109" s="362">
        <v>-372.69269135953721</v>
      </c>
      <c r="CY109" s="363"/>
      <c r="CZ109" s="363">
        <v>409.14554884867698</v>
      </c>
      <c r="DA109" s="362"/>
      <c r="DB109" s="362">
        <v>450.97858724097352</v>
      </c>
      <c r="DC109" s="363"/>
      <c r="DD109" s="363">
        <v>-5.9357720661451481</v>
      </c>
      <c r="DE109" s="362"/>
      <c r="DF109" s="362">
        <v>-328.60923775873914</v>
      </c>
      <c r="DG109" s="363"/>
      <c r="DH109" s="363">
        <v>-13.908186580630854</v>
      </c>
      <c r="DI109" s="362"/>
      <c r="DJ109" s="362">
        <v>1104.218646706998</v>
      </c>
      <c r="DK109" s="363"/>
      <c r="DL109" s="363">
        <v>-1716.0524858070917</v>
      </c>
      <c r="DM109" s="362"/>
      <c r="DN109" s="362">
        <v>245.66095561669158</v>
      </c>
      <c r="DO109" s="363"/>
      <c r="DP109" s="363">
        <v>231.86469847301851</v>
      </c>
    </row>
    <row r="110" spans="1:120" s="348" customFormat="1" ht="15" customHeight="1" x14ac:dyDescent="0.2">
      <c r="A110" s="272"/>
      <c r="B110" s="347"/>
      <c r="C110" s="347"/>
      <c r="D110" s="347"/>
      <c r="E110" s="347"/>
      <c r="F110" s="347"/>
      <c r="G110" s="347" t="s">
        <v>639</v>
      </c>
      <c r="I110" s="362"/>
      <c r="J110" s="362">
        <v>-166.89709489826947</v>
      </c>
      <c r="K110" s="363"/>
      <c r="L110" s="363">
        <v>-251.31215570050773</v>
      </c>
      <c r="M110" s="362"/>
      <c r="N110" s="362">
        <v>-207.59815640024055</v>
      </c>
      <c r="O110" s="363"/>
      <c r="P110" s="363">
        <v>-190.94797232144396</v>
      </c>
      <c r="Q110" s="362"/>
      <c r="R110" s="362">
        <v>323.75571234112897</v>
      </c>
      <c r="S110" s="363"/>
      <c r="T110" s="363">
        <v>-384.22733737270272</v>
      </c>
      <c r="U110" s="362"/>
      <c r="V110" s="362">
        <v>1133.4405876380074</v>
      </c>
      <c r="W110" s="363"/>
      <c r="X110" s="363">
        <v>389.40450693369473</v>
      </c>
      <c r="Y110" s="362"/>
      <c r="Z110" s="362">
        <v>-284.0179364593892</v>
      </c>
      <c r="AA110" s="363"/>
      <c r="AB110" s="363">
        <v>760.95438763703567</v>
      </c>
      <c r="AC110" s="362"/>
      <c r="AD110" s="362">
        <v>-502.18990992308636</v>
      </c>
      <c r="AE110" s="363"/>
      <c r="AF110" s="363">
        <v>487.40262133680739</v>
      </c>
      <c r="AG110" s="362"/>
      <c r="AH110" s="362">
        <v>-449.27609656456491</v>
      </c>
      <c r="AI110" s="363"/>
      <c r="AJ110" s="363">
        <v>513.73460600791623</v>
      </c>
      <c r="AK110" s="362"/>
      <c r="AL110" s="362">
        <v>1020.2760037339258</v>
      </c>
      <c r="AM110" s="363"/>
      <c r="AN110" s="363">
        <v>-715.69715977940234</v>
      </c>
      <c r="AO110" s="362"/>
      <c r="AP110" s="362">
        <v>-939.68295681702307</v>
      </c>
      <c r="AQ110" s="363"/>
      <c r="AR110" s="363">
        <v>-125.99253931765786</v>
      </c>
      <c r="AS110" s="362"/>
      <c r="AT110" s="362">
        <v>586.20111015307032</v>
      </c>
      <c r="AU110" s="363"/>
      <c r="AV110" s="363">
        <v>-885.63198347668583</v>
      </c>
      <c r="AW110" s="364"/>
      <c r="AX110" s="364">
        <v>-154.06719447659452</v>
      </c>
      <c r="AY110" s="363"/>
      <c r="AZ110" s="363">
        <v>2151.030981676503</v>
      </c>
      <c r="BA110" s="362"/>
      <c r="BB110" s="362">
        <v>-871.40080304330206</v>
      </c>
      <c r="BC110" s="363"/>
      <c r="BD110" s="363">
        <v>-267.05225350103484</v>
      </c>
      <c r="BE110" s="362"/>
      <c r="BF110" s="362">
        <v>-751.86629769568333</v>
      </c>
      <c r="BG110" s="363"/>
      <c r="BH110" s="363">
        <v>2075.4616820114802</v>
      </c>
      <c r="BI110" s="362"/>
      <c r="BJ110" s="362">
        <v>-1313.6714978258885</v>
      </c>
      <c r="BK110" s="363"/>
      <c r="BL110" s="363">
        <v>455.92913698262487</v>
      </c>
      <c r="BM110" s="362"/>
      <c r="BN110" s="362">
        <v>-1140.9011212277501</v>
      </c>
      <c r="BO110" s="363"/>
      <c r="BP110" s="363">
        <v>2267.7997808226692</v>
      </c>
      <c r="BQ110" s="362"/>
      <c r="BR110" s="362">
        <v>-1711.8505961939334</v>
      </c>
      <c r="BS110" s="363"/>
      <c r="BT110" s="363">
        <v>411.13513085395107</v>
      </c>
      <c r="BU110" s="362"/>
      <c r="BV110" s="362">
        <v>287.66723278554912</v>
      </c>
      <c r="BW110" s="363"/>
      <c r="BX110" s="363">
        <v>-1370.779148331505</v>
      </c>
      <c r="BY110" s="362"/>
      <c r="BZ110" s="362">
        <v>997.5043870647122</v>
      </c>
      <c r="CA110" s="363"/>
      <c r="CB110" s="363">
        <v>-1005.9665922673183</v>
      </c>
      <c r="CC110" s="362"/>
      <c r="CD110" s="362">
        <v>992.47022659245295</v>
      </c>
      <c r="CE110" s="363"/>
      <c r="CF110" s="363">
        <v>-59.234980743707212</v>
      </c>
      <c r="CG110" s="362"/>
      <c r="CH110" s="362">
        <v>258.36447076207389</v>
      </c>
      <c r="CI110" s="363"/>
      <c r="CJ110" s="363">
        <v>-136.11030564623698</v>
      </c>
      <c r="CK110" s="362"/>
      <c r="CL110" s="362">
        <v>-836.75065492261331</v>
      </c>
      <c r="CM110" s="363"/>
      <c r="CN110" s="363">
        <v>47.76014337021784</v>
      </c>
      <c r="CO110" s="362"/>
      <c r="CP110" s="362">
        <v>111.7313738500916</v>
      </c>
      <c r="CQ110" s="363"/>
      <c r="CR110" s="363">
        <v>151.10660060816366</v>
      </c>
      <c r="CS110" s="362"/>
      <c r="CT110" s="362">
        <v>267.16158719080363</v>
      </c>
      <c r="CU110" s="363"/>
      <c r="CV110" s="363">
        <v>271.68242187182511</v>
      </c>
      <c r="CW110" s="362"/>
      <c r="CX110" s="362">
        <v>175.47671188174567</v>
      </c>
      <c r="CY110" s="363"/>
      <c r="CZ110" s="363">
        <v>-1097.4345844103004</v>
      </c>
      <c r="DA110" s="362"/>
      <c r="DB110" s="362">
        <v>247.40455907352793</v>
      </c>
      <c r="DC110" s="363"/>
      <c r="DD110" s="363">
        <v>-98.922602071518725</v>
      </c>
      <c r="DE110" s="362"/>
      <c r="DF110" s="362">
        <v>-142.13173318511977</v>
      </c>
      <c r="DG110" s="363"/>
      <c r="DH110" s="363">
        <v>430.53622804256088</v>
      </c>
      <c r="DI110" s="362"/>
      <c r="DJ110" s="362">
        <v>-225.52800832006693</v>
      </c>
      <c r="DK110" s="363"/>
      <c r="DL110" s="363">
        <v>-90.850392691567038</v>
      </c>
      <c r="DM110" s="362"/>
      <c r="DN110" s="362">
        <v>-597.39427539170038</v>
      </c>
      <c r="DO110" s="363"/>
      <c r="DP110" s="363">
        <v>390.98618057296983</v>
      </c>
    </row>
    <row r="111" spans="1:120" s="348" customFormat="1" ht="15" customHeight="1" x14ac:dyDescent="0.2">
      <c r="A111" s="272"/>
      <c r="B111" s="347"/>
      <c r="C111" s="347"/>
      <c r="D111" s="347"/>
      <c r="E111" s="347"/>
      <c r="F111" s="347"/>
      <c r="G111" s="347" t="s">
        <v>640</v>
      </c>
      <c r="I111" s="362"/>
      <c r="J111" s="362">
        <v>-34.244941248859959</v>
      </c>
      <c r="K111" s="363"/>
      <c r="L111" s="363">
        <v>204.75331112197591</v>
      </c>
      <c r="M111" s="362"/>
      <c r="N111" s="362">
        <v>409.50956421177398</v>
      </c>
      <c r="O111" s="363"/>
      <c r="P111" s="363">
        <v>-564.59235905479693</v>
      </c>
      <c r="Q111" s="362"/>
      <c r="R111" s="362">
        <v>-30.135877465959652</v>
      </c>
      <c r="S111" s="363"/>
      <c r="T111" s="363">
        <v>-44.863527757569727</v>
      </c>
      <c r="U111" s="362"/>
      <c r="V111" s="362">
        <v>-66.656926150918139</v>
      </c>
      <c r="W111" s="363"/>
      <c r="X111" s="363">
        <v>-23.674920210846949</v>
      </c>
      <c r="Y111" s="362"/>
      <c r="Z111" s="362">
        <v>484.55520767351811</v>
      </c>
      <c r="AA111" s="363"/>
      <c r="AB111" s="363">
        <v>-93.971020794108654</v>
      </c>
      <c r="AC111" s="362"/>
      <c r="AD111" s="362">
        <v>521.00090813236784</v>
      </c>
      <c r="AE111" s="363"/>
      <c r="AF111" s="363">
        <v>-877.41041342064921</v>
      </c>
      <c r="AG111" s="362"/>
      <c r="AH111" s="362">
        <v>-646.42129656270663</v>
      </c>
      <c r="AI111" s="363"/>
      <c r="AJ111" s="363">
        <v>-137.23246137611989</v>
      </c>
      <c r="AK111" s="362"/>
      <c r="AL111" s="362">
        <v>-815.04931840389031</v>
      </c>
      <c r="AM111" s="363"/>
      <c r="AN111" s="363">
        <v>1345.9931995675704</v>
      </c>
      <c r="AO111" s="362"/>
      <c r="AP111" s="362">
        <v>68.78105519923173</v>
      </c>
      <c r="AQ111" s="363"/>
      <c r="AR111" s="363">
        <v>-571.28843015350594</v>
      </c>
      <c r="AS111" s="362"/>
      <c r="AT111" s="362">
        <v>386.11460007032269</v>
      </c>
      <c r="AU111" s="363"/>
      <c r="AV111" s="363">
        <v>214.08028101002333</v>
      </c>
      <c r="AW111" s="364"/>
      <c r="AX111" s="364">
        <v>-551.53319704421983</v>
      </c>
      <c r="AY111" s="363"/>
      <c r="AZ111" s="363">
        <v>-241.99283489704749</v>
      </c>
      <c r="BA111" s="362"/>
      <c r="BB111" s="362">
        <v>21.904331195627606</v>
      </c>
      <c r="BC111" s="363"/>
      <c r="BD111" s="363">
        <v>306.47277943928361</v>
      </c>
      <c r="BE111" s="362"/>
      <c r="BF111" s="362">
        <v>-683.38163464904437</v>
      </c>
      <c r="BG111" s="363"/>
      <c r="BH111" s="363">
        <v>-62.629837539203891</v>
      </c>
      <c r="BI111" s="362"/>
      <c r="BJ111" s="362">
        <v>-478.98810785473563</v>
      </c>
      <c r="BK111" s="363"/>
      <c r="BL111" s="363">
        <v>-252.16861951815423</v>
      </c>
      <c r="BM111" s="362"/>
      <c r="BN111" s="362">
        <v>2075.8515451359472</v>
      </c>
      <c r="BO111" s="363"/>
      <c r="BP111" s="363">
        <v>-1045.6593004798788</v>
      </c>
      <c r="BQ111" s="362"/>
      <c r="BR111" s="362">
        <v>302.92049757785344</v>
      </c>
      <c r="BS111" s="363"/>
      <c r="BT111" s="363">
        <v>-797.84855432191239</v>
      </c>
      <c r="BU111" s="362"/>
      <c r="BV111" s="362">
        <v>-355.41410948503011</v>
      </c>
      <c r="BW111" s="363"/>
      <c r="BX111" s="363">
        <v>863.42332026683493</v>
      </c>
      <c r="BY111" s="362"/>
      <c r="BZ111" s="362">
        <v>-4.5964245174273799</v>
      </c>
      <c r="CA111" s="363"/>
      <c r="CB111" s="363">
        <v>410.96005298592297</v>
      </c>
      <c r="CC111" s="362"/>
      <c r="CD111" s="362">
        <v>-584.83781685565691</v>
      </c>
      <c r="CE111" s="363"/>
      <c r="CF111" s="363">
        <v>1444.6512032005926</v>
      </c>
      <c r="CG111" s="362"/>
      <c r="CH111" s="362">
        <v>-1479.2993306800938</v>
      </c>
      <c r="CI111" s="363"/>
      <c r="CJ111" s="363">
        <v>1100.3201100111164</v>
      </c>
      <c r="CK111" s="362"/>
      <c r="CL111" s="362">
        <v>-232.06648767701657</v>
      </c>
      <c r="CM111" s="363"/>
      <c r="CN111" s="363">
        <v>7.6880982684380363</v>
      </c>
      <c r="CO111" s="362"/>
      <c r="CP111" s="362">
        <v>-173.6096684418618</v>
      </c>
      <c r="CQ111" s="363"/>
      <c r="CR111" s="363">
        <v>29.273026635405365</v>
      </c>
      <c r="CS111" s="362"/>
      <c r="CT111" s="362">
        <v>500.0816281061841</v>
      </c>
      <c r="CU111" s="363"/>
      <c r="CV111" s="363">
        <v>726.60838829741601</v>
      </c>
      <c r="CW111" s="362"/>
      <c r="CX111" s="362">
        <v>-548.16940324128291</v>
      </c>
      <c r="CY111" s="363"/>
      <c r="CZ111" s="363">
        <v>1506.5801332589774</v>
      </c>
      <c r="DA111" s="362"/>
      <c r="DB111" s="362">
        <v>203.57402816744559</v>
      </c>
      <c r="DC111" s="363"/>
      <c r="DD111" s="363">
        <v>92.986830005373577</v>
      </c>
      <c r="DE111" s="362"/>
      <c r="DF111" s="362">
        <v>-186.47750457361937</v>
      </c>
      <c r="DG111" s="363"/>
      <c r="DH111" s="363">
        <v>-444.44441462319173</v>
      </c>
      <c r="DI111" s="362"/>
      <c r="DJ111" s="362">
        <v>1329.7466550270649</v>
      </c>
      <c r="DK111" s="363"/>
      <c r="DL111" s="363">
        <v>-1625.2020931155246</v>
      </c>
      <c r="DM111" s="362"/>
      <c r="DN111" s="362">
        <v>843.05523100839196</v>
      </c>
      <c r="DO111" s="363"/>
      <c r="DP111" s="363">
        <v>-159.12148209995132</v>
      </c>
    </row>
    <row r="112" spans="1:120" s="348" customFormat="1" ht="15" customHeight="1" x14ac:dyDescent="0.2">
      <c r="A112" s="272"/>
      <c r="B112" s="347"/>
      <c r="C112" s="347"/>
      <c r="D112" s="347"/>
      <c r="E112" s="347"/>
      <c r="F112" s="347" t="s">
        <v>641</v>
      </c>
      <c r="G112" s="347"/>
      <c r="I112" s="362"/>
      <c r="J112" s="362">
        <v>346.12374168023393</v>
      </c>
      <c r="K112" s="363"/>
      <c r="L112" s="363">
        <v>346.12374168023393</v>
      </c>
      <c r="M112" s="362"/>
      <c r="N112" s="362">
        <v>346.12374168023393</v>
      </c>
      <c r="O112" s="363"/>
      <c r="P112" s="363">
        <v>346.12374168023393</v>
      </c>
      <c r="Q112" s="362"/>
      <c r="R112" s="362">
        <v>-733.00472099025956</v>
      </c>
      <c r="S112" s="363"/>
      <c r="T112" s="363">
        <v>556.04367458977958</v>
      </c>
      <c r="U112" s="362"/>
      <c r="V112" s="362">
        <v>-758.93086195302817</v>
      </c>
      <c r="W112" s="363"/>
      <c r="X112" s="363">
        <v>388.13388575466638</v>
      </c>
      <c r="Y112" s="362"/>
      <c r="Z112" s="362">
        <v>991.51561059207029</v>
      </c>
      <c r="AA112" s="363"/>
      <c r="AB112" s="363">
        <v>640.12632378317949</v>
      </c>
      <c r="AC112" s="362"/>
      <c r="AD112" s="362">
        <v>-712.63011438546869</v>
      </c>
      <c r="AE112" s="363"/>
      <c r="AF112" s="363">
        <v>129.89633236912124</v>
      </c>
      <c r="AG112" s="362"/>
      <c r="AH112" s="362">
        <v>348.65199443341282</v>
      </c>
      <c r="AI112" s="363"/>
      <c r="AJ112" s="363">
        <v>628.38590737493837</v>
      </c>
      <c r="AK112" s="362"/>
      <c r="AL112" s="362">
        <v>-747.06596901036346</v>
      </c>
      <c r="AM112" s="363"/>
      <c r="AN112" s="363">
        <v>48.999805441696928</v>
      </c>
      <c r="AO112" s="362"/>
      <c r="AP112" s="362">
        <v>-263.59568355592569</v>
      </c>
      <c r="AQ112" s="363"/>
      <c r="AR112" s="363">
        <v>-165.05200956436016</v>
      </c>
      <c r="AS112" s="362"/>
      <c r="AT112" s="362">
        <v>532.81435368731434</v>
      </c>
      <c r="AU112" s="363"/>
      <c r="AV112" s="363">
        <v>695.82343605875406</v>
      </c>
      <c r="AW112" s="364"/>
      <c r="AX112" s="364">
        <v>1.6988323146542399</v>
      </c>
      <c r="AY112" s="363"/>
      <c r="AZ112" s="363">
        <v>67.082141019015339</v>
      </c>
      <c r="BA112" s="362"/>
      <c r="BB112" s="362">
        <v>1499.9063251632783</v>
      </c>
      <c r="BC112" s="363"/>
      <c r="BD112" s="363">
        <v>819.81938102205481</v>
      </c>
      <c r="BE112" s="362"/>
      <c r="BF112" s="362">
        <v>866.25768431935626</v>
      </c>
      <c r="BG112" s="363"/>
      <c r="BH112" s="363">
        <v>5.2956856635423906</v>
      </c>
      <c r="BI112" s="362"/>
      <c r="BJ112" s="362">
        <v>-255.78696689642251</v>
      </c>
      <c r="BK112" s="363"/>
      <c r="BL112" s="363">
        <v>-493.70493508290684</v>
      </c>
      <c r="BM112" s="362"/>
      <c r="BN112" s="362">
        <v>-275.24425255349934</v>
      </c>
      <c r="BO112" s="363"/>
      <c r="BP112" s="363">
        <v>-87.840589556133295</v>
      </c>
      <c r="BQ112" s="362"/>
      <c r="BR112" s="362">
        <v>163.4941624599557</v>
      </c>
      <c r="BS112" s="363"/>
      <c r="BT112" s="363">
        <v>180.93182656582255</v>
      </c>
      <c r="BU112" s="362"/>
      <c r="BV112" s="362">
        <v>130.28107037499998</v>
      </c>
      <c r="BW112" s="363"/>
      <c r="BX112" s="363">
        <v>-518.93074262696325</v>
      </c>
      <c r="BY112" s="362"/>
      <c r="BZ112" s="362">
        <v>-227.45856929689779</v>
      </c>
      <c r="CA112" s="363"/>
      <c r="CB112" s="363">
        <v>-527.15632224581714</v>
      </c>
      <c r="CC112" s="362"/>
      <c r="CD112" s="362">
        <v>-1969.7205583156492</v>
      </c>
      <c r="CE112" s="363"/>
      <c r="CF112" s="363">
        <v>-1414.2754337526812</v>
      </c>
      <c r="CG112" s="362"/>
      <c r="CH112" s="362">
        <v>-255.06935599999997</v>
      </c>
      <c r="CI112" s="363"/>
      <c r="CJ112" s="363">
        <v>-327.77652599999999</v>
      </c>
      <c r="CK112" s="362"/>
      <c r="CL112" s="362">
        <v>0</v>
      </c>
      <c r="CM112" s="363"/>
      <c r="CN112" s="363">
        <v>-10.660157999999999</v>
      </c>
      <c r="CO112" s="362"/>
      <c r="CP112" s="362">
        <v>0</v>
      </c>
      <c r="CQ112" s="363"/>
      <c r="CR112" s="363">
        <v>0</v>
      </c>
      <c r="CS112" s="362"/>
      <c r="CT112" s="362">
        <v>0</v>
      </c>
      <c r="CU112" s="363"/>
      <c r="CV112" s="363">
        <v>59.6311780499951</v>
      </c>
      <c r="CW112" s="362"/>
      <c r="CX112" s="362">
        <v>188.84925406000491</v>
      </c>
      <c r="CY112" s="363"/>
      <c r="CZ112" s="363">
        <v>386.74924902000004</v>
      </c>
      <c r="DA112" s="362"/>
      <c r="DB112" s="362">
        <v>115.89129042000005</v>
      </c>
      <c r="DC112" s="363"/>
      <c r="DD112" s="363">
        <v>684.0005752894682</v>
      </c>
      <c r="DE112" s="362"/>
      <c r="DF112" s="362">
        <v>619.33745752496839</v>
      </c>
      <c r="DG112" s="363"/>
      <c r="DH112" s="363">
        <v>150.15669222918021</v>
      </c>
      <c r="DI112" s="362"/>
      <c r="DJ112" s="362">
        <v>-705.94611134916158</v>
      </c>
      <c r="DK112" s="363"/>
      <c r="DL112" s="363">
        <v>1274.3030184850511</v>
      </c>
      <c r="DM112" s="362"/>
      <c r="DN112" s="362">
        <v>-90.180301246627025</v>
      </c>
      <c r="DO112" s="363"/>
      <c r="DP112" s="363">
        <v>285.32325949442628</v>
      </c>
    </row>
    <row r="113" spans="1:120" s="348" customFormat="1" ht="15" customHeight="1" x14ac:dyDescent="0.2">
      <c r="A113" s="272"/>
      <c r="B113" s="347"/>
      <c r="C113" s="347"/>
      <c r="D113" s="347"/>
      <c r="E113" s="347"/>
      <c r="F113" s="347"/>
      <c r="G113" s="347" t="s">
        <v>594</v>
      </c>
      <c r="I113" s="362"/>
      <c r="J113" s="362">
        <v>346.12374168023393</v>
      </c>
      <c r="K113" s="363"/>
      <c r="L113" s="363">
        <v>346.12374168023393</v>
      </c>
      <c r="M113" s="362"/>
      <c r="N113" s="362">
        <v>346.12374168023393</v>
      </c>
      <c r="O113" s="363"/>
      <c r="P113" s="363">
        <v>346.12374168023393</v>
      </c>
      <c r="Q113" s="362"/>
      <c r="R113" s="362">
        <v>-733.00472099025956</v>
      </c>
      <c r="S113" s="363"/>
      <c r="T113" s="363">
        <v>556.04367458977958</v>
      </c>
      <c r="U113" s="362"/>
      <c r="V113" s="362">
        <v>-758.93086195302817</v>
      </c>
      <c r="W113" s="363"/>
      <c r="X113" s="363">
        <v>388.13388575466638</v>
      </c>
      <c r="Y113" s="362"/>
      <c r="Z113" s="362">
        <v>991.51561059207029</v>
      </c>
      <c r="AA113" s="363"/>
      <c r="AB113" s="363">
        <v>640.12632378317949</v>
      </c>
      <c r="AC113" s="362"/>
      <c r="AD113" s="362">
        <v>-712.63011438546869</v>
      </c>
      <c r="AE113" s="363"/>
      <c r="AF113" s="363">
        <v>129.89633236912124</v>
      </c>
      <c r="AG113" s="362"/>
      <c r="AH113" s="362">
        <v>348.65199443341282</v>
      </c>
      <c r="AI113" s="363"/>
      <c r="AJ113" s="363">
        <v>628.38590737493837</v>
      </c>
      <c r="AK113" s="362"/>
      <c r="AL113" s="362">
        <v>-747.06596901036346</v>
      </c>
      <c r="AM113" s="363"/>
      <c r="AN113" s="363">
        <v>48.999805441696928</v>
      </c>
      <c r="AO113" s="362"/>
      <c r="AP113" s="362">
        <v>-263.59568355592569</v>
      </c>
      <c r="AQ113" s="363"/>
      <c r="AR113" s="363">
        <v>-165.05200956436016</v>
      </c>
      <c r="AS113" s="362"/>
      <c r="AT113" s="362">
        <v>532.81435368731434</v>
      </c>
      <c r="AU113" s="363"/>
      <c r="AV113" s="363">
        <v>695.82343605875406</v>
      </c>
      <c r="AW113" s="364"/>
      <c r="AX113" s="364">
        <v>1.6988323146542399</v>
      </c>
      <c r="AY113" s="363"/>
      <c r="AZ113" s="363">
        <v>67.082141019015339</v>
      </c>
      <c r="BA113" s="362"/>
      <c r="BB113" s="362">
        <v>1499.9063251632783</v>
      </c>
      <c r="BC113" s="363"/>
      <c r="BD113" s="363">
        <v>819.81938102205481</v>
      </c>
      <c r="BE113" s="362"/>
      <c r="BF113" s="362">
        <v>866.25768431935626</v>
      </c>
      <c r="BG113" s="363"/>
      <c r="BH113" s="363">
        <v>5.2956856635423906</v>
      </c>
      <c r="BI113" s="362"/>
      <c r="BJ113" s="362">
        <v>-255.78696689642251</v>
      </c>
      <c r="BK113" s="363"/>
      <c r="BL113" s="363">
        <v>-493.70493508290684</v>
      </c>
      <c r="BM113" s="362"/>
      <c r="BN113" s="362">
        <v>-275.24425255349934</v>
      </c>
      <c r="BO113" s="363"/>
      <c r="BP113" s="363">
        <v>-87.840589556133295</v>
      </c>
      <c r="BQ113" s="362"/>
      <c r="BR113" s="362">
        <v>163.4941624599557</v>
      </c>
      <c r="BS113" s="363"/>
      <c r="BT113" s="363">
        <v>180.93182656582255</v>
      </c>
      <c r="BU113" s="362"/>
      <c r="BV113" s="362">
        <v>130.28107037499998</v>
      </c>
      <c r="BW113" s="363"/>
      <c r="BX113" s="363">
        <v>-518.93074262696325</v>
      </c>
      <c r="BY113" s="362"/>
      <c r="BZ113" s="362">
        <v>-227.45856929689779</v>
      </c>
      <c r="CA113" s="363"/>
      <c r="CB113" s="363">
        <v>-527.15632224581714</v>
      </c>
      <c r="CC113" s="362"/>
      <c r="CD113" s="362">
        <v>-1969.7205583156492</v>
      </c>
      <c r="CE113" s="363"/>
      <c r="CF113" s="363">
        <v>-1414.2754337526812</v>
      </c>
      <c r="CG113" s="362"/>
      <c r="CH113" s="362">
        <v>-255.06935599999997</v>
      </c>
      <c r="CI113" s="363"/>
      <c r="CJ113" s="363">
        <v>-327.77652599999999</v>
      </c>
      <c r="CK113" s="362"/>
      <c r="CL113" s="362">
        <v>0</v>
      </c>
      <c r="CM113" s="363"/>
      <c r="CN113" s="363">
        <v>-10.660157999999999</v>
      </c>
      <c r="CO113" s="362"/>
      <c r="CP113" s="362">
        <v>0</v>
      </c>
      <c r="CQ113" s="363"/>
      <c r="CR113" s="363">
        <v>0</v>
      </c>
      <c r="CS113" s="362"/>
      <c r="CT113" s="362">
        <v>0</v>
      </c>
      <c r="CU113" s="363"/>
      <c r="CV113" s="363">
        <v>59.6311780499951</v>
      </c>
      <c r="CW113" s="362"/>
      <c r="CX113" s="362">
        <v>188.84925406000491</v>
      </c>
      <c r="CY113" s="363"/>
      <c r="CZ113" s="363">
        <v>386.74924902000004</v>
      </c>
      <c r="DA113" s="362"/>
      <c r="DB113" s="362">
        <v>115.89129042000005</v>
      </c>
      <c r="DC113" s="363"/>
      <c r="DD113" s="363">
        <v>684.0005752894682</v>
      </c>
      <c r="DE113" s="362"/>
      <c r="DF113" s="362">
        <v>619.33745752496839</v>
      </c>
      <c r="DG113" s="363"/>
      <c r="DH113" s="363">
        <v>150.15669222918021</v>
      </c>
      <c r="DI113" s="362"/>
      <c r="DJ113" s="362">
        <v>-705.94611134916158</v>
      </c>
      <c r="DK113" s="363"/>
      <c r="DL113" s="363">
        <v>1274.3030184850511</v>
      </c>
      <c r="DM113" s="362"/>
      <c r="DN113" s="362">
        <v>-90.180301246627025</v>
      </c>
      <c r="DO113" s="363"/>
      <c r="DP113" s="363">
        <v>285.32325949442628</v>
      </c>
    </row>
    <row r="114" spans="1:120" s="348" customFormat="1" ht="15" customHeight="1" x14ac:dyDescent="0.2">
      <c r="A114" s="272"/>
      <c r="B114" s="347"/>
      <c r="C114" s="347"/>
      <c r="D114" s="347"/>
      <c r="E114" s="347"/>
      <c r="F114" s="347"/>
      <c r="G114" s="347" t="s">
        <v>642</v>
      </c>
      <c r="I114" s="362"/>
      <c r="J114" s="362"/>
      <c r="K114" s="363"/>
      <c r="L114" s="363"/>
      <c r="M114" s="362"/>
      <c r="N114" s="362"/>
      <c r="O114" s="363"/>
      <c r="P114" s="363"/>
      <c r="Q114" s="362"/>
      <c r="R114" s="362"/>
      <c r="S114" s="363"/>
      <c r="T114" s="363"/>
      <c r="U114" s="362"/>
      <c r="V114" s="362"/>
      <c r="W114" s="363"/>
      <c r="X114" s="363"/>
      <c r="Y114" s="362"/>
      <c r="Z114" s="362"/>
      <c r="AA114" s="363"/>
      <c r="AB114" s="363"/>
      <c r="AC114" s="362"/>
      <c r="AD114" s="362"/>
      <c r="AE114" s="363"/>
      <c r="AF114" s="363"/>
      <c r="AG114" s="362"/>
      <c r="AH114" s="362"/>
      <c r="AI114" s="363"/>
      <c r="AJ114" s="363"/>
      <c r="AK114" s="362"/>
      <c r="AL114" s="362"/>
      <c r="AM114" s="363"/>
      <c r="AN114" s="363"/>
      <c r="AO114" s="362"/>
      <c r="AP114" s="362"/>
      <c r="AQ114" s="363"/>
      <c r="AR114" s="363"/>
      <c r="AS114" s="362"/>
      <c r="AT114" s="362"/>
      <c r="AU114" s="363"/>
      <c r="AV114" s="363"/>
      <c r="AW114" s="364"/>
      <c r="AX114" s="364"/>
      <c r="AY114" s="363"/>
      <c r="AZ114" s="363"/>
      <c r="BA114" s="362"/>
      <c r="BB114" s="362"/>
      <c r="BC114" s="363"/>
      <c r="BD114" s="363"/>
      <c r="BE114" s="362"/>
      <c r="BF114" s="362"/>
      <c r="BG114" s="363"/>
      <c r="BH114" s="363"/>
      <c r="BI114" s="362"/>
      <c r="BJ114" s="362"/>
      <c r="BK114" s="363"/>
      <c r="BL114" s="363"/>
      <c r="BM114" s="362"/>
      <c r="BN114" s="362"/>
      <c r="BO114" s="363"/>
      <c r="BP114" s="363"/>
      <c r="BQ114" s="362"/>
      <c r="BR114" s="362"/>
      <c r="BS114" s="363"/>
      <c r="BT114" s="363"/>
      <c r="BU114" s="362"/>
      <c r="BV114" s="362"/>
      <c r="BW114" s="363"/>
      <c r="BX114" s="363"/>
      <c r="BY114" s="362"/>
      <c r="BZ114" s="362"/>
      <c r="CA114" s="363"/>
      <c r="CB114" s="363"/>
      <c r="CC114" s="362"/>
      <c r="CD114" s="362"/>
      <c r="CE114" s="363"/>
      <c r="CF114" s="363"/>
      <c r="CG114" s="362"/>
      <c r="CH114" s="362"/>
      <c r="CI114" s="363"/>
      <c r="CJ114" s="363"/>
      <c r="CK114" s="362"/>
      <c r="CL114" s="362"/>
      <c r="CM114" s="363"/>
      <c r="CN114" s="363"/>
      <c r="CO114" s="362"/>
      <c r="CP114" s="362"/>
      <c r="CQ114" s="363"/>
      <c r="CR114" s="363"/>
      <c r="CS114" s="362"/>
      <c r="CT114" s="362"/>
      <c r="CU114" s="363"/>
      <c r="CV114" s="363"/>
      <c r="CW114" s="362"/>
      <c r="CX114" s="362"/>
      <c r="CY114" s="363"/>
      <c r="CZ114" s="363"/>
      <c r="DA114" s="362"/>
      <c r="DB114" s="362"/>
      <c r="DC114" s="363"/>
      <c r="DD114" s="363"/>
      <c r="DE114" s="362"/>
      <c r="DF114" s="362"/>
      <c r="DG114" s="363"/>
      <c r="DH114" s="363"/>
      <c r="DI114" s="362"/>
      <c r="DJ114" s="362"/>
      <c r="DK114" s="363"/>
      <c r="DL114" s="363"/>
      <c r="DM114" s="362"/>
      <c r="DN114" s="362"/>
      <c r="DO114" s="363"/>
      <c r="DP114" s="363"/>
    </row>
    <row r="115" spans="1:120" s="348" customFormat="1" ht="15" customHeight="1" x14ac:dyDescent="0.2">
      <c r="A115" s="272"/>
      <c r="B115" s="347"/>
      <c r="C115" s="347"/>
      <c r="D115" s="347"/>
      <c r="E115" s="347"/>
      <c r="F115" s="347"/>
      <c r="G115" s="347" t="s">
        <v>643</v>
      </c>
      <c r="I115" s="362"/>
      <c r="J115" s="362">
        <v>346.12374168023393</v>
      </c>
      <c r="K115" s="363"/>
      <c r="L115" s="363">
        <v>346.12374168023393</v>
      </c>
      <c r="M115" s="362"/>
      <c r="N115" s="362">
        <v>346.12374168023393</v>
      </c>
      <c r="O115" s="363"/>
      <c r="P115" s="363">
        <v>346.12374168023393</v>
      </c>
      <c r="Q115" s="362"/>
      <c r="R115" s="362">
        <v>-733.00472099025956</v>
      </c>
      <c r="S115" s="363"/>
      <c r="T115" s="363">
        <v>556.04367458977958</v>
      </c>
      <c r="U115" s="362"/>
      <c r="V115" s="362">
        <v>-758.93086195302817</v>
      </c>
      <c r="W115" s="363"/>
      <c r="X115" s="363">
        <v>388.13388575466638</v>
      </c>
      <c r="Y115" s="362"/>
      <c r="Z115" s="362">
        <v>991.51561059207029</v>
      </c>
      <c r="AA115" s="363"/>
      <c r="AB115" s="363">
        <v>640.12632378317949</v>
      </c>
      <c r="AC115" s="362"/>
      <c r="AD115" s="362">
        <v>-712.63011438546869</v>
      </c>
      <c r="AE115" s="363"/>
      <c r="AF115" s="363">
        <v>129.89633236912124</v>
      </c>
      <c r="AG115" s="362"/>
      <c r="AH115" s="362">
        <v>348.65199443341282</v>
      </c>
      <c r="AI115" s="363"/>
      <c r="AJ115" s="363">
        <v>628.38590737493837</v>
      </c>
      <c r="AK115" s="362"/>
      <c r="AL115" s="362">
        <v>-747.06596901036346</v>
      </c>
      <c r="AM115" s="363"/>
      <c r="AN115" s="363">
        <v>48.999805441696928</v>
      </c>
      <c r="AO115" s="362"/>
      <c r="AP115" s="362">
        <v>-263.59568355592569</v>
      </c>
      <c r="AQ115" s="363"/>
      <c r="AR115" s="363">
        <v>-165.05200956436016</v>
      </c>
      <c r="AS115" s="362"/>
      <c r="AT115" s="362">
        <v>532.81435368731434</v>
      </c>
      <c r="AU115" s="363"/>
      <c r="AV115" s="363">
        <v>695.82343605875406</v>
      </c>
      <c r="AW115" s="364"/>
      <c r="AX115" s="364">
        <v>1.6988323146542399</v>
      </c>
      <c r="AY115" s="363"/>
      <c r="AZ115" s="363">
        <v>67.082141019015339</v>
      </c>
      <c r="BA115" s="362"/>
      <c r="BB115" s="362">
        <v>1499.9063251632783</v>
      </c>
      <c r="BC115" s="363"/>
      <c r="BD115" s="363">
        <v>819.81938102205481</v>
      </c>
      <c r="BE115" s="362"/>
      <c r="BF115" s="362">
        <v>866.25768431935626</v>
      </c>
      <c r="BG115" s="363"/>
      <c r="BH115" s="363">
        <v>5.2956856635423906</v>
      </c>
      <c r="BI115" s="362"/>
      <c r="BJ115" s="362">
        <v>-255.78696689642251</v>
      </c>
      <c r="BK115" s="363"/>
      <c r="BL115" s="363">
        <v>-493.70493508290684</v>
      </c>
      <c r="BM115" s="362"/>
      <c r="BN115" s="362">
        <v>-275.24425255349934</v>
      </c>
      <c r="BO115" s="363"/>
      <c r="BP115" s="363">
        <v>-87.840589556133295</v>
      </c>
      <c r="BQ115" s="362"/>
      <c r="BR115" s="362">
        <v>163.4941624599557</v>
      </c>
      <c r="BS115" s="363"/>
      <c r="BT115" s="363">
        <v>180.93182656582255</v>
      </c>
      <c r="BU115" s="362"/>
      <c r="BV115" s="362">
        <v>130.28107037499998</v>
      </c>
      <c r="BW115" s="363"/>
      <c r="BX115" s="363">
        <v>-518.93074262696325</v>
      </c>
      <c r="BY115" s="362"/>
      <c r="BZ115" s="362">
        <v>-227.45856929689779</v>
      </c>
      <c r="CA115" s="363"/>
      <c r="CB115" s="363">
        <v>-527.15632224581714</v>
      </c>
      <c r="CC115" s="362"/>
      <c r="CD115" s="362">
        <v>-1969.7205583156492</v>
      </c>
      <c r="CE115" s="363"/>
      <c r="CF115" s="363">
        <v>-1414.2754337526812</v>
      </c>
      <c r="CG115" s="362"/>
      <c r="CH115" s="362">
        <v>-255.06935599999997</v>
      </c>
      <c r="CI115" s="363"/>
      <c r="CJ115" s="363">
        <v>-327.77652599999999</v>
      </c>
      <c r="CK115" s="362"/>
      <c r="CL115" s="362">
        <v>0</v>
      </c>
      <c r="CM115" s="363"/>
      <c r="CN115" s="363">
        <v>-10.660157999999999</v>
      </c>
      <c r="CO115" s="362"/>
      <c r="CP115" s="362">
        <v>0</v>
      </c>
      <c r="CQ115" s="363"/>
      <c r="CR115" s="363">
        <v>0</v>
      </c>
      <c r="CS115" s="362"/>
      <c r="CT115" s="362">
        <v>0</v>
      </c>
      <c r="CU115" s="363"/>
      <c r="CV115" s="363">
        <v>59.6311780499951</v>
      </c>
      <c r="CW115" s="362"/>
      <c r="CX115" s="362">
        <v>188.84925406000491</v>
      </c>
      <c r="CY115" s="363"/>
      <c r="CZ115" s="363">
        <v>386.74924902000004</v>
      </c>
      <c r="DA115" s="362"/>
      <c r="DB115" s="362">
        <v>115.89129042000005</v>
      </c>
      <c r="DC115" s="363"/>
      <c r="DD115" s="363">
        <v>684.0005752894682</v>
      </c>
      <c r="DE115" s="362"/>
      <c r="DF115" s="362">
        <v>619.33745752496839</v>
      </c>
      <c r="DG115" s="363"/>
      <c r="DH115" s="363">
        <v>150.15669222918021</v>
      </c>
      <c r="DI115" s="362"/>
      <c r="DJ115" s="362">
        <v>-705.94611134916158</v>
      </c>
      <c r="DK115" s="363"/>
      <c r="DL115" s="363">
        <v>1274.3030184850511</v>
      </c>
      <c r="DM115" s="362"/>
      <c r="DN115" s="362">
        <v>-90.180301246627025</v>
      </c>
      <c r="DO115" s="363"/>
      <c r="DP115" s="363">
        <v>285.32325949442628</v>
      </c>
    </row>
    <row r="116" spans="1:120" s="348" customFormat="1" ht="15" customHeight="1" x14ac:dyDescent="0.2">
      <c r="A116" s="272"/>
      <c r="B116" s="347"/>
      <c r="C116" s="347"/>
      <c r="D116" s="347"/>
      <c r="E116" s="347"/>
      <c r="F116" s="347"/>
      <c r="G116" s="347" t="s">
        <v>579</v>
      </c>
      <c r="I116" s="362"/>
      <c r="J116" s="362"/>
      <c r="K116" s="363"/>
      <c r="L116" s="363"/>
      <c r="M116" s="362"/>
      <c r="N116" s="362"/>
      <c r="O116" s="363"/>
      <c r="P116" s="363"/>
      <c r="Q116" s="362"/>
      <c r="R116" s="362"/>
      <c r="S116" s="363"/>
      <c r="T116" s="363"/>
      <c r="U116" s="362"/>
      <c r="V116" s="362"/>
      <c r="W116" s="363"/>
      <c r="X116" s="363"/>
      <c r="Y116" s="362"/>
      <c r="Z116" s="362"/>
      <c r="AA116" s="363"/>
      <c r="AB116" s="363"/>
      <c r="AC116" s="362"/>
      <c r="AD116" s="362"/>
      <c r="AE116" s="363"/>
      <c r="AF116" s="363"/>
      <c r="AG116" s="362"/>
      <c r="AH116" s="362"/>
      <c r="AI116" s="363"/>
      <c r="AJ116" s="363"/>
      <c r="AK116" s="362"/>
      <c r="AL116" s="362"/>
      <c r="AM116" s="363"/>
      <c r="AN116" s="363"/>
      <c r="AO116" s="362"/>
      <c r="AP116" s="362"/>
      <c r="AQ116" s="363"/>
      <c r="AR116" s="363"/>
      <c r="AS116" s="362"/>
      <c r="AT116" s="362"/>
      <c r="AU116" s="363"/>
      <c r="AV116" s="363"/>
      <c r="AW116" s="364"/>
      <c r="AX116" s="364"/>
      <c r="AY116" s="363"/>
      <c r="AZ116" s="363"/>
      <c r="BA116" s="362"/>
      <c r="BB116" s="362"/>
      <c r="BC116" s="363"/>
      <c r="BD116" s="363"/>
      <c r="BE116" s="362"/>
      <c r="BF116" s="362"/>
      <c r="BG116" s="363"/>
      <c r="BH116" s="363"/>
      <c r="BI116" s="362"/>
      <c r="BJ116" s="362"/>
      <c r="BK116" s="363"/>
      <c r="BL116" s="363"/>
      <c r="BM116" s="362"/>
      <c r="BN116" s="362"/>
      <c r="BO116" s="363"/>
      <c r="BP116" s="363"/>
      <c r="BQ116" s="362"/>
      <c r="BR116" s="362"/>
      <c r="BS116" s="363"/>
      <c r="BT116" s="363"/>
      <c r="BU116" s="362"/>
      <c r="BV116" s="362"/>
      <c r="BW116" s="363"/>
      <c r="BX116" s="363"/>
      <c r="BY116" s="362"/>
      <c r="BZ116" s="362"/>
      <c r="CA116" s="363"/>
      <c r="CB116" s="363"/>
      <c r="CC116" s="362"/>
      <c r="CD116" s="362"/>
      <c r="CE116" s="363"/>
      <c r="CF116" s="363"/>
      <c r="CG116" s="362"/>
      <c r="CH116" s="362"/>
      <c r="CI116" s="363"/>
      <c r="CJ116" s="363"/>
      <c r="CK116" s="362"/>
      <c r="CL116" s="362"/>
      <c r="CM116" s="363"/>
      <c r="CN116" s="363"/>
      <c r="CO116" s="362"/>
      <c r="CP116" s="362"/>
      <c r="CQ116" s="363"/>
      <c r="CR116" s="363"/>
      <c r="CS116" s="362"/>
      <c r="CT116" s="362"/>
      <c r="CU116" s="363"/>
      <c r="CV116" s="363"/>
      <c r="CW116" s="362"/>
      <c r="CX116" s="362"/>
      <c r="CY116" s="363"/>
      <c r="CZ116" s="363"/>
      <c r="DA116" s="362"/>
      <c r="DB116" s="362"/>
      <c r="DC116" s="363"/>
      <c r="DD116" s="363"/>
      <c r="DE116" s="362"/>
      <c r="DF116" s="362"/>
      <c r="DG116" s="363"/>
      <c r="DH116" s="363"/>
      <c r="DI116" s="362"/>
      <c r="DJ116" s="362"/>
      <c r="DK116" s="363"/>
      <c r="DL116" s="363"/>
      <c r="DM116" s="362"/>
      <c r="DN116" s="362"/>
      <c r="DO116" s="363"/>
      <c r="DP116" s="363"/>
    </row>
    <row r="117" spans="1:120" s="348" customFormat="1" ht="15" customHeight="1" x14ac:dyDescent="0.2">
      <c r="A117" s="272"/>
      <c r="B117" s="347"/>
      <c r="C117" s="347"/>
      <c r="D117" s="347"/>
      <c r="E117" s="347"/>
      <c r="F117" s="347" t="s">
        <v>644</v>
      </c>
      <c r="G117" s="347"/>
      <c r="I117" s="362"/>
      <c r="J117" s="362"/>
      <c r="K117" s="363"/>
      <c r="L117" s="363"/>
      <c r="M117" s="362"/>
      <c r="N117" s="362"/>
      <c r="O117" s="363"/>
      <c r="P117" s="363"/>
      <c r="Q117" s="362"/>
      <c r="R117" s="362"/>
      <c r="S117" s="363"/>
      <c r="T117" s="363"/>
      <c r="U117" s="362"/>
      <c r="V117" s="362"/>
      <c r="W117" s="363"/>
      <c r="X117" s="363"/>
      <c r="Y117" s="362"/>
      <c r="Z117" s="362"/>
      <c r="AA117" s="363"/>
      <c r="AB117" s="363"/>
      <c r="AC117" s="362"/>
      <c r="AD117" s="362"/>
      <c r="AE117" s="363"/>
      <c r="AF117" s="363"/>
      <c r="AG117" s="362"/>
      <c r="AH117" s="362"/>
      <c r="AI117" s="363"/>
      <c r="AJ117" s="363"/>
      <c r="AK117" s="362"/>
      <c r="AL117" s="362"/>
      <c r="AM117" s="363"/>
      <c r="AN117" s="363"/>
      <c r="AO117" s="362"/>
      <c r="AP117" s="362"/>
      <c r="AQ117" s="363"/>
      <c r="AR117" s="363"/>
      <c r="AS117" s="362"/>
      <c r="AT117" s="362"/>
      <c r="AU117" s="363"/>
      <c r="AV117" s="363"/>
      <c r="AW117" s="364"/>
      <c r="AX117" s="364"/>
      <c r="AY117" s="363"/>
      <c r="AZ117" s="363"/>
      <c r="BA117" s="362"/>
      <c r="BB117" s="362"/>
      <c r="BC117" s="363"/>
      <c r="BD117" s="363"/>
      <c r="BE117" s="362"/>
      <c r="BF117" s="362"/>
      <c r="BG117" s="363"/>
      <c r="BH117" s="363"/>
      <c r="BI117" s="362"/>
      <c r="BJ117" s="362"/>
      <c r="BK117" s="363"/>
      <c r="BL117" s="363"/>
      <c r="BM117" s="362"/>
      <c r="BN117" s="362"/>
      <c r="BO117" s="363"/>
      <c r="BP117" s="363"/>
      <c r="BQ117" s="362"/>
      <c r="BR117" s="362"/>
      <c r="BS117" s="363"/>
      <c r="BT117" s="363"/>
      <c r="BU117" s="362"/>
      <c r="BV117" s="362"/>
      <c r="BW117" s="363"/>
      <c r="BX117" s="363"/>
      <c r="BY117" s="362"/>
      <c r="BZ117" s="362"/>
      <c r="CA117" s="363"/>
      <c r="CB117" s="363"/>
      <c r="CC117" s="362"/>
      <c r="CD117" s="362"/>
      <c r="CE117" s="363"/>
      <c r="CF117" s="363"/>
      <c r="CG117" s="362"/>
      <c r="CH117" s="362"/>
      <c r="CI117" s="363"/>
      <c r="CJ117" s="363"/>
      <c r="CK117" s="362"/>
      <c r="CL117" s="362"/>
      <c r="CM117" s="363"/>
      <c r="CN117" s="363"/>
      <c r="CO117" s="362"/>
      <c r="CP117" s="362"/>
      <c r="CQ117" s="363"/>
      <c r="CR117" s="363"/>
      <c r="CS117" s="362"/>
      <c r="CT117" s="362"/>
      <c r="CU117" s="363"/>
      <c r="CV117" s="363"/>
      <c r="CW117" s="362"/>
      <c r="CX117" s="362"/>
      <c r="CY117" s="363"/>
      <c r="CZ117" s="363"/>
      <c r="DA117" s="362"/>
      <c r="DB117" s="362"/>
      <c r="DC117" s="363"/>
      <c r="DD117" s="363"/>
      <c r="DE117" s="362"/>
      <c r="DF117" s="362"/>
      <c r="DG117" s="363"/>
      <c r="DH117" s="363"/>
      <c r="DI117" s="362"/>
      <c r="DJ117" s="362"/>
      <c r="DK117" s="363"/>
      <c r="DL117" s="363"/>
      <c r="DM117" s="362"/>
      <c r="DN117" s="362"/>
      <c r="DO117" s="363"/>
      <c r="DP117" s="363"/>
    </row>
    <row r="118" spans="1:120" s="348" customFormat="1" ht="15" customHeight="1" x14ac:dyDescent="0.2">
      <c r="A118" s="272"/>
      <c r="B118" s="347"/>
      <c r="C118" s="347"/>
      <c r="D118" s="347"/>
      <c r="E118" s="347"/>
      <c r="F118" s="347" t="s">
        <v>645</v>
      </c>
      <c r="G118" s="347"/>
      <c r="I118" s="362"/>
      <c r="J118" s="349">
        <v>0</v>
      </c>
      <c r="K118" s="363"/>
      <c r="L118" s="350">
        <v>0</v>
      </c>
      <c r="M118" s="362"/>
      <c r="N118" s="349">
        <v>0</v>
      </c>
      <c r="O118" s="363"/>
      <c r="P118" s="350">
        <v>0</v>
      </c>
      <c r="Q118" s="362"/>
      <c r="R118" s="349">
        <v>0</v>
      </c>
      <c r="S118" s="363"/>
      <c r="T118" s="350">
        <v>0</v>
      </c>
      <c r="U118" s="362"/>
      <c r="V118" s="349">
        <v>0</v>
      </c>
      <c r="W118" s="363"/>
      <c r="X118" s="350">
        <v>0</v>
      </c>
      <c r="Y118" s="362"/>
      <c r="Z118" s="349">
        <v>3.6089523322102579E-3</v>
      </c>
      <c r="AA118" s="363"/>
      <c r="AB118" s="350">
        <v>1.8809077386994222E-4</v>
      </c>
      <c r="AC118" s="362"/>
      <c r="AD118" s="349">
        <v>-3.6385435454725501E-3</v>
      </c>
      <c r="AE118" s="363"/>
      <c r="AF118" s="350">
        <v>-1.8201341903286483E-2</v>
      </c>
      <c r="AG118" s="362"/>
      <c r="AH118" s="349">
        <v>-4.6126560474378908E-2</v>
      </c>
      <c r="AI118" s="363"/>
      <c r="AJ118" s="350">
        <v>2.3246408365707572E-2</v>
      </c>
      <c r="AK118" s="362"/>
      <c r="AL118" s="349">
        <v>0.14801532686760288</v>
      </c>
      <c r="AM118" s="363"/>
      <c r="AN118" s="350">
        <v>-0.11572423643069207</v>
      </c>
      <c r="AO118" s="362"/>
      <c r="AP118" s="349">
        <v>8.806892089026741E-3</v>
      </c>
      <c r="AQ118" s="363"/>
      <c r="AR118" s="350">
        <v>-1.2392541034376925E-2</v>
      </c>
      <c r="AS118" s="362"/>
      <c r="AT118" s="349">
        <v>4.1289262049922337E-2</v>
      </c>
      <c r="AU118" s="363"/>
      <c r="AV118" s="350">
        <v>-3.7300185750921089E-2</v>
      </c>
      <c r="AW118" s="364"/>
      <c r="AX118" s="351">
        <v>2.2361029626768447E-3</v>
      </c>
      <c r="AY118" s="363"/>
      <c r="AZ118" s="350">
        <v>2.5023084443541732E-2</v>
      </c>
      <c r="BA118" s="362"/>
      <c r="BB118" s="349">
        <v>6.0313426645188573E-2</v>
      </c>
      <c r="BC118" s="363"/>
      <c r="BD118" s="350">
        <v>8.1942802168553097E-3</v>
      </c>
      <c r="BE118" s="362"/>
      <c r="BF118" s="349">
        <v>0.35354920028420977</v>
      </c>
      <c r="BG118" s="363"/>
      <c r="BH118" s="350">
        <v>-9.9488576280786667E-2</v>
      </c>
      <c r="BI118" s="362"/>
      <c r="BJ118" s="349">
        <v>0.50565226293520715</v>
      </c>
      <c r="BK118" s="363"/>
      <c r="BL118" s="350">
        <v>-6.9839317921340047</v>
      </c>
      <c r="BM118" s="362"/>
      <c r="BN118" s="349">
        <v>6.2433845226227858</v>
      </c>
      <c r="BO118" s="363"/>
      <c r="BP118" s="350">
        <v>-1.0854219942120658</v>
      </c>
      <c r="BQ118" s="362"/>
      <c r="BR118" s="349">
        <v>4.4202166211992724</v>
      </c>
      <c r="BS118" s="363"/>
      <c r="BT118" s="350">
        <v>-6.7880839934953974</v>
      </c>
      <c r="BU118" s="362"/>
      <c r="BV118" s="349">
        <v>5.1882296200575144</v>
      </c>
      <c r="BW118" s="363"/>
      <c r="BX118" s="350">
        <v>-1.325037353155774</v>
      </c>
      <c r="BY118" s="362"/>
      <c r="BZ118" s="349">
        <v>-0.27718912337711932</v>
      </c>
      <c r="CA118" s="363"/>
      <c r="CB118" s="350">
        <v>-2.5260055622230988</v>
      </c>
      <c r="CC118" s="362"/>
      <c r="CD118" s="349">
        <v>7.4301354247921187</v>
      </c>
      <c r="CE118" s="363"/>
      <c r="CF118" s="350">
        <v>-3.4502196126858822</v>
      </c>
      <c r="CG118" s="362"/>
      <c r="CH118" s="349">
        <v>-1.4831654228725617</v>
      </c>
      <c r="CI118" s="363"/>
      <c r="CJ118" s="359">
        <v>0.16100858454442535</v>
      </c>
      <c r="CK118" s="362"/>
      <c r="CL118" s="357">
        <v>-0.29348916726341479</v>
      </c>
      <c r="CM118" s="363"/>
      <c r="CN118" s="366">
        <v>-4.2146017355427778E-2</v>
      </c>
      <c r="CO118" s="367"/>
      <c r="CP118" s="360">
        <v>-2.6072041146292468E-2</v>
      </c>
      <c r="CQ118" s="363"/>
      <c r="CR118" s="366">
        <v>3.9943856247063536E-2</v>
      </c>
      <c r="CS118" s="362"/>
      <c r="CT118" s="349">
        <v>2.0338773651757371</v>
      </c>
      <c r="CU118" s="363"/>
      <c r="CV118" s="366">
        <v>6.6112362441446155</v>
      </c>
      <c r="CW118" s="362"/>
      <c r="CX118" s="349">
        <v>-2.158888799254596</v>
      </c>
      <c r="CY118" s="363"/>
      <c r="CZ118" s="366">
        <v>-17.873666137310927</v>
      </c>
      <c r="DA118" s="362"/>
      <c r="DB118" s="349">
        <v>18.360840664787716</v>
      </c>
      <c r="DC118" s="363"/>
      <c r="DD118" s="366">
        <v>4.860549101826491</v>
      </c>
      <c r="DE118" s="362"/>
      <c r="DF118" s="349">
        <v>-9.0748900952242089</v>
      </c>
      <c r="DG118" s="363"/>
      <c r="DH118" s="366">
        <v>26.611095466440723</v>
      </c>
      <c r="DI118" s="362"/>
      <c r="DJ118" s="349">
        <v>-18.208040824204929</v>
      </c>
      <c r="DK118" s="363"/>
      <c r="DL118" s="366">
        <v>-9.2069444896679062</v>
      </c>
      <c r="DM118" s="362"/>
      <c r="DN118" s="349">
        <v>0.81540515671742297</v>
      </c>
      <c r="DO118" s="363"/>
      <c r="DP118" s="366">
        <v>-1.0813980406774801</v>
      </c>
    </row>
    <row r="119" spans="1:120" ht="15" customHeight="1" x14ac:dyDescent="0.2">
      <c r="I119" s="349"/>
      <c r="J119" s="349"/>
      <c r="K119" s="350"/>
      <c r="L119" s="350"/>
      <c r="M119" s="349"/>
      <c r="N119" s="349"/>
      <c r="O119" s="350"/>
      <c r="P119" s="350"/>
      <c r="Q119" s="349"/>
      <c r="R119" s="349"/>
      <c r="S119" s="350"/>
      <c r="T119" s="350"/>
      <c r="U119" s="349"/>
      <c r="V119" s="349"/>
      <c r="W119" s="350"/>
      <c r="X119" s="350"/>
      <c r="Y119" s="349"/>
      <c r="Z119" s="349"/>
      <c r="AA119" s="350"/>
      <c r="AB119" s="350"/>
      <c r="AC119" s="349"/>
      <c r="AD119" s="349"/>
      <c r="AE119" s="350"/>
      <c r="AF119" s="350"/>
      <c r="AG119" s="349"/>
      <c r="AH119" s="349"/>
      <c r="AI119" s="350"/>
      <c r="AJ119" s="350"/>
      <c r="AK119" s="349"/>
      <c r="AL119" s="349"/>
      <c r="AM119" s="350"/>
      <c r="AN119" s="350"/>
      <c r="AO119" s="349"/>
      <c r="AP119" s="349"/>
      <c r="AQ119" s="350"/>
      <c r="AR119" s="350"/>
      <c r="AS119" s="349"/>
      <c r="AT119" s="349"/>
      <c r="AU119" s="350"/>
      <c r="AV119" s="350"/>
      <c r="AW119" s="351"/>
      <c r="AX119" s="351"/>
      <c r="AY119" s="350"/>
      <c r="AZ119" s="350"/>
      <c r="BA119" s="349"/>
      <c r="BB119" s="349"/>
      <c r="BC119" s="350"/>
      <c r="BD119" s="350"/>
      <c r="BE119" s="349"/>
      <c r="BF119" s="349"/>
      <c r="BG119" s="350"/>
      <c r="BH119" s="350"/>
      <c r="BI119" s="349"/>
      <c r="BJ119" s="349"/>
      <c r="BK119" s="350"/>
      <c r="BL119" s="350"/>
      <c r="BM119" s="349"/>
      <c r="BN119" s="349"/>
      <c r="BO119" s="350"/>
      <c r="BP119" s="350"/>
      <c r="BQ119" s="349"/>
      <c r="BR119" s="349"/>
      <c r="BS119" s="350"/>
      <c r="BT119" s="350"/>
      <c r="BU119" s="349"/>
      <c r="BV119" s="349"/>
      <c r="BW119" s="350"/>
      <c r="BX119" s="350"/>
      <c r="BY119" s="349"/>
      <c r="BZ119" s="349"/>
      <c r="CA119" s="350"/>
      <c r="CB119" s="350"/>
      <c r="CC119" s="349"/>
      <c r="CD119" s="349"/>
      <c r="CE119" s="350"/>
      <c r="CF119" s="350"/>
      <c r="CG119" s="349"/>
      <c r="CH119" s="349"/>
      <c r="CI119" s="350"/>
      <c r="CJ119" s="350"/>
      <c r="CK119" s="349"/>
      <c r="CL119" s="349"/>
      <c r="CM119" s="350"/>
      <c r="CN119" s="350"/>
      <c r="CO119" s="349"/>
      <c r="CP119" s="349"/>
      <c r="CQ119" s="350"/>
      <c r="CR119" s="350"/>
      <c r="CS119" s="349"/>
      <c r="CT119" s="349"/>
      <c r="CU119" s="350"/>
      <c r="CV119" s="350"/>
      <c r="CW119" s="349"/>
      <c r="CX119" s="349"/>
      <c r="CY119" s="350"/>
      <c r="CZ119" s="350"/>
      <c r="DA119" s="349"/>
      <c r="DB119" s="349"/>
      <c r="DC119" s="350"/>
      <c r="DD119" s="350"/>
      <c r="DE119" s="349"/>
      <c r="DF119" s="349"/>
      <c r="DG119" s="350"/>
      <c r="DH119" s="350"/>
      <c r="DI119" s="349"/>
      <c r="DJ119" s="349"/>
      <c r="DK119" s="350"/>
      <c r="DL119" s="350"/>
      <c r="DM119" s="349"/>
      <c r="DN119" s="349"/>
      <c r="DO119" s="350"/>
      <c r="DP119" s="350"/>
    </row>
    <row r="120" spans="1:120" s="338" customFormat="1" ht="15" customHeight="1" x14ac:dyDescent="0.2">
      <c r="A120" s="272"/>
      <c r="C120" s="338" t="s">
        <v>646</v>
      </c>
      <c r="H120" s="339"/>
      <c r="I120" s="344"/>
      <c r="J120" s="344">
        <v>-709.99799686081406</v>
      </c>
      <c r="K120" s="345"/>
      <c r="L120" s="345">
        <v>-1211.85994859537</v>
      </c>
      <c r="M120" s="344"/>
      <c r="N120" s="344">
        <v>-892.22233732230404</v>
      </c>
      <c r="O120" s="345"/>
      <c r="P120" s="345">
        <v>-1449.36827604328</v>
      </c>
      <c r="Q120" s="344"/>
      <c r="R120" s="344">
        <v>-1277.74344862475</v>
      </c>
      <c r="S120" s="345"/>
      <c r="T120" s="345">
        <v>-995.99175537830695</v>
      </c>
      <c r="U120" s="344"/>
      <c r="V120" s="344">
        <v>-296.26932730723598</v>
      </c>
      <c r="W120" s="345"/>
      <c r="X120" s="345">
        <v>-493.74388446197401</v>
      </c>
      <c r="Y120" s="344"/>
      <c r="Z120" s="344">
        <v>-281.35326816404398</v>
      </c>
      <c r="AA120" s="345"/>
      <c r="AB120" s="345">
        <v>-31.936766698987867</v>
      </c>
      <c r="AC120" s="344"/>
      <c r="AD120" s="344">
        <v>-1129.7702565379627</v>
      </c>
      <c r="AE120" s="345"/>
      <c r="AF120" s="345">
        <v>-655.70117703745359</v>
      </c>
      <c r="AG120" s="344"/>
      <c r="AH120" s="344">
        <v>-333.4796032546887</v>
      </c>
      <c r="AI120" s="345"/>
      <c r="AJ120" s="345">
        <v>-363.97479094054199</v>
      </c>
      <c r="AK120" s="344"/>
      <c r="AL120" s="344">
        <v>-548.34735159493516</v>
      </c>
      <c r="AM120" s="345"/>
      <c r="AN120" s="345">
        <v>-1066.4553339278955</v>
      </c>
      <c r="AO120" s="344"/>
      <c r="AP120" s="344">
        <v>-661.10021250739919</v>
      </c>
      <c r="AQ120" s="345"/>
      <c r="AR120" s="345">
        <v>-613.26159204634337</v>
      </c>
      <c r="AS120" s="344"/>
      <c r="AT120" s="344">
        <v>-52.955394078198424</v>
      </c>
      <c r="AU120" s="345"/>
      <c r="AV120" s="345">
        <v>-854.52717258076393</v>
      </c>
      <c r="AW120" s="346"/>
      <c r="AX120" s="346">
        <v>-674.94493279052585</v>
      </c>
      <c r="AY120" s="345"/>
      <c r="AZ120" s="345">
        <v>-399.12280292051992</v>
      </c>
      <c r="BA120" s="344"/>
      <c r="BB120" s="344">
        <v>599.75978756773134</v>
      </c>
      <c r="BC120" s="345"/>
      <c r="BD120" s="345">
        <v>-1648.5294272564945</v>
      </c>
      <c r="BE120" s="344"/>
      <c r="BF120" s="344">
        <v>-812.57577868064141</v>
      </c>
      <c r="BG120" s="345"/>
      <c r="BH120" s="345">
        <v>-873.22107658368373</v>
      </c>
      <c r="BI120" s="344"/>
      <c r="BJ120" s="344">
        <v>-1014.9219345407108</v>
      </c>
      <c r="BK120" s="345"/>
      <c r="BL120" s="345">
        <v>-676.96552107812181</v>
      </c>
      <c r="BM120" s="344"/>
      <c r="BN120" s="344">
        <v>-236.45325727634713</v>
      </c>
      <c r="BO120" s="345"/>
      <c r="BP120" s="345">
        <v>-349.37815963715434</v>
      </c>
      <c r="BQ120" s="344"/>
      <c r="BR120" s="344">
        <v>-1180.9798328670925</v>
      </c>
      <c r="BS120" s="345"/>
      <c r="BT120" s="345">
        <v>-693.10488624015329</v>
      </c>
      <c r="BU120" s="344"/>
      <c r="BV120" s="344">
        <v>-698.00788889761145</v>
      </c>
      <c r="BW120" s="345"/>
      <c r="BX120" s="345">
        <v>-48.015935190438768</v>
      </c>
      <c r="BY120" s="344"/>
      <c r="BZ120" s="344">
        <v>688.45037371358808</v>
      </c>
      <c r="CA120" s="345"/>
      <c r="CB120" s="345">
        <v>-336.77781615026743</v>
      </c>
      <c r="CC120" s="344"/>
      <c r="CD120" s="344">
        <v>-408.99099003449669</v>
      </c>
      <c r="CE120" s="345"/>
      <c r="CF120" s="345">
        <v>-689.59793089678283</v>
      </c>
      <c r="CG120" s="344"/>
      <c r="CH120" s="344">
        <v>-2008.9672543386937</v>
      </c>
      <c r="CI120" s="345"/>
      <c r="CJ120" s="345">
        <v>-1103.3809407339361</v>
      </c>
      <c r="CK120" s="344"/>
      <c r="CL120" s="344">
        <v>-684.77670099717454</v>
      </c>
      <c r="CM120" s="345"/>
      <c r="CN120" s="345">
        <v>-649.42000704629947</v>
      </c>
      <c r="CP120" s="344">
        <v>-289.59830572492797</v>
      </c>
      <c r="CQ120" s="345"/>
      <c r="CR120" s="345">
        <v>55.291211362209808</v>
      </c>
      <c r="CS120" s="344"/>
      <c r="CT120" s="344">
        <v>551.92958351127027</v>
      </c>
      <c r="CU120" s="345"/>
      <c r="CV120" s="345">
        <v>251.7002588443795</v>
      </c>
      <c r="CW120" s="344"/>
      <c r="CX120" s="344">
        <v>400.17777966488188</v>
      </c>
      <c r="CY120" s="345"/>
      <c r="CZ120" s="345">
        <v>279.00152836812572</v>
      </c>
      <c r="DA120" s="344"/>
      <c r="DB120" s="344">
        <v>719.70127738865517</v>
      </c>
      <c r="DC120" s="345"/>
      <c r="DD120" s="345">
        <v>330.05654113369962</v>
      </c>
      <c r="DE120" s="344"/>
      <c r="DF120" s="344">
        <v>368.33979119233652</v>
      </c>
      <c r="DG120" s="345"/>
      <c r="DH120" s="345">
        <v>-453.10312538487602</v>
      </c>
      <c r="DI120" s="344"/>
      <c r="DJ120" s="344">
        <v>757.60334615020054</v>
      </c>
      <c r="DK120" s="345"/>
      <c r="DL120" s="345">
        <v>467.61772169066194</v>
      </c>
      <c r="DM120" s="344"/>
      <c r="DN120" s="344">
        <v>28.080974627323627</v>
      </c>
      <c r="DO120" s="345"/>
      <c r="DP120" s="345">
        <v>-349.10696142877657</v>
      </c>
    </row>
    <row r="121" spans="1:120" s="338" customFormat="1" ht="15" customHeight="1" x14ac:dyDescent="0.2">
      <c r="A121" s="272"/>
      <c r="H121" s="339"/>
      <c r="I121" s="344"/>
      <c r="J121" s="344"/>
      <c r="K121" s="345"/>
      <c r="L121" s="345"/>
      <c r="M121" s="344"/>
      <c r="N121" s="344"/>
      <c r="O121" s="345"/>
      <c r="P121" s="345"/>
      <c r="Q121" s="344"/>
      <c r="R121" s="344"/>
      <c r="S121" s="345"/>
      <c r="T121" s="345"/>
      <c r="U121" s="344"/>
      <c r="V121" s="344"/>
      <c r="W121" s="345"/>
      <c r="X121" s="345"/>
      <c r="Y121" s="344"/>
      <c r="Z121" s="344"/>
      <c r="AA121" s="345"/>
      <c r="AB121" s="345"/>
      <c r="AC121" s="344"/>
      <c r="AD121" s="344"/>
      <c r="AE121" s="345"/>
      <c r="AF121" s="345"/>
      <c r="AG121" s="344"/>
      <c r="AH121" s="344"/>
      <c r="AI121" s="345"/>
      <c r="AJ121" s="345"/>
      <c r="AK121" s="344"/>
      <c r="AL121" s="344"/>
      <c r="AM121" s="345"/>
      <c r="AN121" s="345"/>
      <c r="AO121" s="344"/>
      <c r="AP121" s="344"/>
      <c r="AQ121" s="345"/>
      <c r="AR121" s="345"/>
      <c r="AS121" s="344"/>
      <c r="AT121" s="344"/>
      <c r="AU121" s="345"/>
      <c r="AV121" s="345"/>
      <c r="AW121" s="346"/>
      <c r="AX121" s="346"/>
      <c r="AY121" s="345"/>
      <c r="AZ121" s="345"/>
      <c r="BA121" s="344"/>
      <c r="BB121" s="344"/>
      <c r="BC121" s="345"/>
      <c r="BD121" s="345"/>
      <c r="BE121" s="344"/>
      <c r="BF121" s="344"/>
      <c r="BG121" s="345"/>
      <c r="BH121" s="345"/>
      <c r="BI121" s="344"/>
      <c r="BJ121" s="344"/>
      <c r="BK121" s="345"/>
      <c r="BL121" s="345"/>
      <c r="BM121" s="344"/>
      <c r="BN121" s="344"/>
      <c r="BO121" s="345"/>
      <c r="BP121" s="345"/>
      <c r="BQ121" s="344"/>
      <c r="BR121" s="344"/>
      <c r="BS121" s="345"/>
      <c r="BT121" s="345"/>
      <c r="BU121" s="344"/>
      <c r="BV121" s="344"/>
      <c r="BW121" s="345"/>
      <c r="BX121" s="345"/>
      <c r="BY121" s="344"/>
      <c r="BZ121" s="344"/>
      <c r="CA121" s="345"/>
      <c r="CB121" s="345"/>
      <c r="CC121" s="344"/>
      <c r="CD121" s="344"/>
      <c r="CE121" s="345"/>
      <c r="CF121" s="345"/>
      <c r="CG121" s="344"/>
      <c r="CH121" s="344"/>
      <c r="CI121" s="345"/>
      <c r="CJ121" s="345"/>
      <c r="CK121" s="344"/>
      <c r="CL121" s="344"/>
      <c r="CM121" s="345"/>
      <c r="CN121" s="345"/>
      <c r="CP121" s="344"/>
      <c r="CQ121" s="345"/>
      <c r="CR121" s="345"/>
      <c r="CS121" s="344"/>
      <c r="CT121" s="344"/>
      <c r="CU121" s="345"/>
      <c r="CV121" s="345"/>
      <c r="CW121" s="344"/>
      <c r="CX121" s="344"/>
      <c r="CY121" s="345"/>
      <c r="CZ121" s="345"/>
      <c r="DA121" s="344"/>
      <c r="DB121" s="344"/>
      <c r="DC121" s="345"/>
      <c r="DD121" s="345"/>
      <c r="DE121" s="344"/>
      <c r="DF121" s="344"/>
      <c r="DG121" s="345"/>
      <c r="DH121" s="345"/>
      <c r="DI121" s="344"/>
      <c r="DJ121" s="344"/>
      <c r="DK121" s="345"/>
      <c r="DL121" s="345"/>
      <c r="DM121" s="344"/>
      <c r="DN121" s="344"/>
      <c r="DO121" s="345"/>
      <c r="DP121" s="345"/>
    </row>
    <row r="122" spans="1:120" s="338" customFormat="1" ht="15" customHeight="1" x14ac:dyDescent="0.2">
      <c r="A122" s="272"/>
      <c r="C122" s="338" t="s">
        <v>647</v>
      </c>
      <c r="H122" s="339"/>
      <c r="I122" s="344"/>
      <c r="J122" s="344">
        <v>751.9151608102527</v>
      </c>
      <c r="K122" s="345"/>
      <c r="L122" s="345">
        <v>-538.00563423265407</v>
      </c>
      <c r="M122" s="344"/>
      <c r="N122" s="344">
        <v>-251.9356461081361</v>
      </c>
      <c r="O122" s="345"/>
      <c r="P122" s="345">
        <v>-374.0340589833836</v>
      </c>
      <c r="Q122" s="344"/>
      <c r="R122" s="344">
        <v>-221.28132440533591</v>
      </c>
      <c r="S122" s="345"/>
      <c r="T122" s="345">
        <v>-44.397890424849038</v>
      </c>
      <c r="U122" s="344"/>
      <c r="V122" s="344">
        <v>89.317139205147214</v>
      </c>
      <c r="W122" s="345"/>
      <c r="X122" s="345">
        <v>-417.69620954892844</v>
      </c>
      <c r="Y122" s="344"/>
      <c r="Z122" s="344">
        <v>731.17370961415872</v>
      </c>
      <c r="AA122" s="345"/>
      <c r="AB122" s="345">
        <v>-15.845471133265598</v>
      </c>
      <c r="AC122" s="344"/>
      <c r="AD122" s="344">
        <v>-294.36315851219604</v>
      </c>
      <c r="AE122" s="345"/>
      <c r="AF122" s="345">
        <v>-27.590544165902202</v>
      </c>
      <c r="AG122" s="344"/>
      <c r="AH122" s="344">
        <v>-27.421484151712548</v>
      </c>
      <c r="AI122" s="345"/>
      <c r="AJ122" s="345">
        <v>180.73677062140803</v>
      </c>
      <c r="AK122" s="344"/>
      <c r="AL122" s="344">
        <v>-252.86340254062975</v>
      </c>
      <c r="AM122" s="345"/>
      <c r="AN122" s="345">
        <v>-376.23340884034121</v>
      </c>
      <c r="AO122" s="344"/>
      <c r="AP122" s="344">
        <v>-697.13036555653434</v>
      </c>
      <c r="AQ122" s="345"/>
      <c r="AR122" s="345">
        <v>63.083000549631834</v>
      </c>
      <c r="AS122" s="344"/>
      <c r="AT122" s="344">
        <v>38.451072537211346</v>
      </c>
      <c r="AU122" s="345"/>
      <c r="AV122" s="345">
        <v>130.88163728562063</v>
      </c>
      <c r="AW122" s="346"/>
      <c r="AX122" s="346">
        <v>-271.3610576721282</v>
      </c>
      <c r="AY122" s="345"/>
      <c r="AZ122" s="345">
        <v>226.59206934854592</v>
      </c>
      <c r="BA122" s="344"/>
      <c r="BB122" s="344">
        <v>783.65637266079818</v>
      </c>
      <c r="BC122" s="345"/>
      <c r="BD122" s="345">
        <v>-563.65976972515728</v>
      </c>
      <c r="BE122" s="344"/>
      <c r="BF122" s="344">
        <v>-231.30240434620328</v>
      </c>
      <c r="BG122" s="345"/>
      <c r="BH122" s="345">
        <v>142.32097959539999</v>
      </c>
      <c r="BI122" s="344"/>
      <c r="BJ122" s="344">
        <v>-639.87331170971333</v>
      </c>
      <c r="BK122" s="345"/>
      <c r="BL122" s="345">
        <v>135.86318690686255</v>
      </c>
      <c r="BM122" s="344"/>
      <c r="BN122" s="344">
        <v>-695.65520224412307</v>
      </c>
      <c r="BO122" s="345"/>
      <c r="BP122" s="345">
        <v>442.93388059948165</v>
      </c>
      <c r="BQ122" s="344"/>
      <c r="BR122" s="344">
        <v>-610.18721268172169</v>
      </c>
      <c r="BS122" s="345"/>
      <c r="BT122" s="345">
        <v>223.28173831306367</v>
      </c>
      <c r="BU122" s="344"/>
      <c r="BV122" s="344">
        <v>-264.38686047823217</v>
      </c>
      <c r="BW122" s="345"/>
      <c r="BX122" s="345">
        <v>598.58284133856159</v>
      </c>
      <c r="BY122" s="344"/>
      <c r="BZ122" s="344">
        <v>451.79204812246047</v>
      </c>
      <c r="CA122" s="345"/>
      <c r="CB122" s="345">
        <v>-21.279325535195483</v>
      </c>
      <c r="CC122" s="344"/>
      <c r="CD122" s="368">
        <v>-0.113091250211653</v>
      </c>
      <c r="CE122" s="345"/>
      <c r="CF122" s="345">
        <v>272.33864757986998</v>
      </c>
      <c r="CG122" s="344"/>
      <c r="CH122" s="344">
        <v>-1250.0709481101292</v>
      </c>
      <c r="CI122" s="345"/>
      <c r="CJ122" s="345">
        <v>26.058877793755073</v>
      </c>
      <c r="CK122" s="344"/>
      <c r="CL122" s="344">
        <v>629.3693507014442</v>
      </c>
      <c r="CM122" s="345"/>
      <c r="CN122" s="345">
        <v>-289.49818292385874</v>
      </c>
      <c r="CP122" s="344">
        <v>-457.73212020335029</v>
      </c>
      <c r="CQ122" s="345"/>
      <c r="CR122" s="345">
        <v>-21.540858891324163</v>
      </c>
      <c r="CS122" s="344"/>
      <c r="CT122" s="344">
        <v>-60.554108822748731</v>
      </c>
      <c r="CU122" s="345"/>
      <c r="CV122" s="345">
        <v>188.38300909632409</v>
      </c>
      <c r="CW122" s="344"/>
      <c r="CX122" s="344">
        <v>-208.45804019906359</v>
      </c>
      <c r="CY122" s="345"/>
      <c r="CZ122" s="345">
        <v>87.055239704113148</v>
      </c>
      <c r="DA122" s="344"/>
      <c r="DB122" s="344">
        <v>-9.8561183857655124</v>
      </c>
      <c r="DC122" s="345"/>
      <c r="DD122" s="345">
        <v>-92.200500644866167</v>
      </c>
      <c r="DE122" s="344"/>
      <c r="DF122" s="344">
        <v>70.919486070300991</v>
      </c>
      <c r="DG122" s="345"/>
      <c r="DH122" s="345">
        <v>-222.72199759218208</v>
      </c>
      <c r="DI122" s="344"/>
      <c r="DJ122" s="344">
        <v>-188.50770205633273</v>
      </c>
      <c r="DK122" s="345"/>
      <c r="DL122" s="345">
        <v>-26.951859170037039</v>
      </c>
      <c r="DM122" s="344"/>
      <c r="DN122" s="344">
        <v>-378.71989512940399</v>
      </c>
      <c r="DO122" s="345"/>
      <c r="DP122" s="345">
        <v>-213.8426041228434</v>
      </c>
    </row>
    <row r="123" spans="1:120" s="348" customFormat="1" ht="15" customHeight="1" x14ac:dyDescent="0.2">
      <c r="A123" s="272"/>
      <c r="B123" s="347"/>
      <c r="C123" s="347"/>
      <c r="D123" s="347"/>
      <c r="E123" s="347"/>
      <c r="F123" s="347"/>
      <c r="G123" s="347"/>
      <c r="K123" s="345"/>
      <c r="L123" s="345"/>
      <c r="O123" s="345"/>
      <c r="P123" s="345"/>
      <c r="S123" s="345"/>
      <c r="T123" s="345"/>
      <c r="W123" s="345"/>
      <c r="X123" s="345"/>
      <c r="AA123" s="345"/>
      <c r="AB123" s="345"/>
      <c r="AE123" s="345"/>
      <c r="AF123" s="345"/>
      <c r="AI123" s="345"/>
      <c r="AJ123" s="345"/>
      <c r="AM123" s="345"/>
      <c r="AN123" s="345"/>
      <c r="AQ123" s="345"/>
      <c r="AR123" s="345"/>
      <c r="AU123" s="345"/>
      <c r="AV123" s="345"/>
      <c r="AY123" s="345"/>
      <c r="AZ123" s="345"/>
      <c r="BC123" s="345"/>
      <c r="BD123" s="345"/>
      <c r="BG123" s="345"/>
      <c r="BH123" s="345"/>
      <c r="BK123" s="345"/>
      <c r="BL123" s="345"/>
      <c r="BO123" s="345"/>
      <c r="BP123" s="345"/>
      <c r="BS123" s="345"/>
      <c r="BT123" s="345"/>
      <c r="BW123" s="345"/>
      <c r="BX123" s="345"/>
      <c r="CA123" s="345"/>
      <c r="CB123" s="345"/>
      <c r="CE123" s="345"/>
      <c r="CF123" s="345"/>
      <c r="CI123" s="345"/>
      <c r="CJ123" s="345"/>
      <c r="CM123" s="345"/>
      <c r="CN123" s="345"/>
      <c r="CQ123" s="345"/>
      <c r="CR123" s="345"/>
      <c r="CU123" s="345"/>
      <c r="CV123" s="345"/>
      <c r="CY123" s="345"/>
      <c r="CZ123" s="345"/>
      <c r="DC123" s="345"/>
      <c r="DD123" s="345"/>
      <c r="DG123" s="345"/>
      <c r="DH123" s="345"/>
      <c r="DK123" s="345"/>
      <c r="DL123" s="345"/>
      <c r="DO123" s="345"/>
      <c r="DP123" s="345"/>
    </row>
    <row r="124" spans="1:120" ht="12" customHeight="1" x14ac:dyDescent="0.2">
      <c r="B124" s="369"/>
      <c r="C124" s="370"/>
      <c r="D124" s="369"/>
      <c r="E124" s="369"/>
      <c r="F124" s="369"/>
      <c r="G124" s="369"/>
      <c r="H124" s="371"/>
      <c r="I124" s="371"/>
      <c r="J124" s="371"/>
      <c r="K124" s="371"/>
      <c r="L124" s="371"/>
      <c r="M124" s="371"/>
      <c r="N124" s="371"/>
      <c r="O124" s="371"/>
      <c r="P124" s="371"/>
      <c r="Q124" s="369"/>
      <c r="R124" s="369"/>
      <c r="S124" s="369"/>
      <c r="T124" s="369"/>
      <c r="U124" s="369"/>
      <c r="V124" s="369"/>
      <c r="W124" s="369"/>
      <c r="X124" s="369"/>
      <c r="Y124" s="369"/>
      <c r="Z124" s="369"/>
      <c r="AA124" s="369"/>
      <c r="AB124" s="369"/>
      <c r="AC124" s="369"/>
      <c r="AD124" s="369"/>
      <c r="AE124" s="369"/>
      <c r="AF124" s="369"/>
      <c r="AG124" s="369"/>
      <c r="AH124" s="369"/>
      <c r="AI124" s="369"/>
      <c r="AJ124" s="369"/>
      <c r="AK124" s="369"/>
      <c r="AL124" s="369"/>
      <c r="AM124" s="369"/>
      <c r="AN124" s="369"/>
      <c r="AO124" s="369"/>
      <c r="AP124" s="369"/>
      <c r="AQ124" s="369"/>
      <c r="AR124" s="369"/>
      <c r="AS124" s="369"/>
      <c r="AT124" s="369"/>
      <c r="AU124" s="369"/>
      <c r="AV124" s="369"/>
      <c r="AW124" s="372"/>
      <c r="AX124" s="372"/>
      <c r="AY124" s="369"/>
      <c r="AZ124" s="369"/>
      <c r="BA124" s="369"/>
      <c r="BB124" s="369"/>
      <c r="BC124" s="369"/>
      <c r="BD124" s="369"/>
      <c r="BE124" s="369"/>
      <c r="BF124" s="369"/>
      <c r="BG124" s="369"/>
      <c r="BH124" s="369"/>
      <c r="BI124" s="369"/>
      <c r="BJ124" s="369"/>
      <c r="BK124" s="369"/>
      <c r="BL124" s="369"/>
      <c r="BM124" s="369"/>
      <c r="BN124" s="369"/>
      <c r="BO124" s="369"/>
      <c r="BP124" s="369"/>
      <c r="BQ124" s="373"/>
      <c r="BR124" s="369"/>
      <c r="BS124" s="369"/>
      <c r="BT124" s="369"/>
      <c r="BU124" s="369"/>
      <c r="BV124" s="369"/>
      <c r="BW124" s="369"/>
      <c r="BX124" s="369"/>
      <c r="BY124" s="369"/>
      <c r="BZ124" s="369"/>
      <c r="CA124" s="369"/>
      <c r="CB124" s="369"/>
      <c r="CC124" s="369"/>
      <c r="CD124" s="369"/>
      <c r="CE124" s="369"/>
      <c r="CF124" s="369"/>
      <c r="CG124" s="369"/>
      <c r="CH124" s="369"/>
      <c r="CI124" s="369"/>
      <c r="CJ124" s="369"/>
      <c r="CK124" s="369"/>
      <c r="CL124" s="369"/>
      <c r="CM124" s="369"/>
      <c r="CN124" s="369"/>
      <c r="CO124" s="369"/>
      <c r="CP124" s="369"/>
      <c r="CQ124" s="369"/>
      <c r="CR124" s="369"/>
      <c r="CS124" s="369"/>
      <c r="CT124" s="369"/>
      <c r="CU124" s="369"/>
      <c r="CV124" s="369"/>
      <c r="CW124" s="369"/>
      <c r="CX124" s="369"/>
      <c r="CY124" s="369"/>
      <c r="CZ124" s="369"/>
      <c r="DA124" s="369"/>
      <c r="DB124" s="369"/>
      <c r="DC124" s="369"/>
      <c r="DD124" s="369"/>
      <c r="DE124" s="369"/>
      <c r="DF124" s="369"/>
      <c r="DG124" s="369"/>
      <c r="DH124" s="369"/>
      <c r="DI124" s="369"/>
      <c r="DJ124" s="369"/>
      <c r="DK124" s="369"/>
      <c r="DL124" s="369"/>
      <c r="DM124" s="369"/>
      <c r="DN124" s="369"/>
      <c r="DO124" s="369"/>
      <c r="DP124" s="369"/>
    </row>
    <row r="125" spans="1:120" ht="12" customHeight="1" x14ac:dyDescent="0.25">
      <c r="B125" s="327" t="s">
        <v>555</v>
      </c>
      <c r="C125" s="338"/>
      <c r="BQ125" s="374"/>
    </row>
    <row r="126" spans="1:120" ht="12" customHeight="1" x14ac:dyDescent="0.25">
      <c r="B126" s="327" t="s">
        <v>1</v>
      </c>
      <c r="C126" s="338"/>
      <c r="BQ126" s="374"/>
    </row>
    <row r="127" spans="1:120" ht="12" customHeight="1" x14ac:dyDescent="0.2">
      <c r="C127" s="338"/>
      <c r="BQ127" s="374"/>
    </row>
    <row r="128" spans="1:120" x14ac:dyDescent="0.2">
      <c r="C128" s="319" t="s">
        <v>648</v>
      </c>
    </row>
    <row r="130" spans="2:120" ht="16.5" customHeight="1" x14ac:dyDescent="0.2">
      <c r="C130" s="375" t="s">
        <v>649</v>
      </c>
      <c r="D130" s="375"/>
      <c r="E130" s="375"/>
      <c r="F130" s="375"/>
      <c r="G130" s="375"/>
      <c r="H130" s="376"/>
      <c r="I130" s="376"/>
      <c r="J130" s="376"/>
      <c r="K130" s="376"/>
      <c r="L130" s="376"/>
      <c r="M130" s="376"/>
      <c r="N130" s="376"/>
      <c r="O130" s="377">
        <v>1279.1550000000002</v>
      </c>
      <c r="P130" s="377"/>
      <c r="Q130" s="378">
        <v>219.04299999999995</v>
      </c>
      <c r="R130" s="378"/>
      <c r="S130" s="378">
        <v>321.16800000000006</v>
      </c>
      <c r="T130" s="378"/>
      <c r="U130" s="378">
        <v>329.92300000000023</v>
      </c>
      <c r="V130" s="378"/>
      <c r="W130" s="378">
        <v>521.27099999999859</v>
      </c>
      <c r="X130" s="378"/>
      <c r="Y130" s="378">
        <v>442.32100000000003</v>
      </c>
      <c r="Z130" s="378"/>
      <c r="AA130" s="378">
        <v>410.65999999999997</v>
      </c>
      <c r="AB130" s="378"/>
      <c r="AC130" s="378">
        <v>320.7219999999993</v>
      </c>
      <c r="AD130" s="378"/>
      <c r="AE130" s="378">
        <v>442.55499999999961</v>
      </c>
      <c r="AF130" s="378"/>
      <c r="AG130" s="378">
        <v>344.73900000000003</v>
      </c>
      <c r="AH130" s="378"/>
      <c r="AI130" s="378">
        <v>170.35899999999992</v>
      </c>
      <c r="AJ130" s="378"/>
      <c r="AK130" s="378">
        <v>143.34299999999985</v>
      </c>
      <c r="AL130" s="378"/>
      <c r="AM130" s="378">
        <v>309.7180000000003</v>
      </c>
      <c r="AN130" s="378"/>
      <c r="AO130" s="378">
        <v>163.35300000000001</v>
      </c>
      <c r="AP130" s="378"/>
      <c r="AQ130" s="378">
        <v>168.81599999999997</v>
      </c>
      <c r="AR130" s="378"/>
      <c r="AS130" s="378">
        <v>111.00880000000018</v>
      </c>
      <c r="AT130" s="378"/>
      <c r="AU130" s="378">
        <v>357.81899999999973</v>
      </c>
      <c r="AV130" s="378"/>
      <c r="AW130" s="379">
        <v>216.13000000000002</v>
      </c>
      <c r="AX130" s="379"/>
      <c r="AY130" s="378">
        <v>385.12899999999991</v>
      </c>
      <c r="AZ130" s="378"/>
      <c r="BA130" s="378">
        <v>194.24300000000005</v>
      </c>
      <c r="BB130" s="378"/>
      <c r="BC130" s="378">
        <v>914.79009999999971</v>
      </c>
      <c r="BD130" s="378"/>
      <c r="BE130" s="378">
        <v>546.3689999999998</v>
      </c>
      <c r="BF130" s="378"/>
      <c r="BG130" s="378">
        <v>1076.5350000000008</v>
      </c>
      <c r="BH130" s="378"/>
      <c r="BI130" s="378">
        <v>232.92999999999984</v>
      </c>
      <c r="BJ130" s="378"/>
      <c r="BK130" s="378">
        <v>511.02499999999964</v>
      </c>
      <c r="BL130" s="378"/>
      <c r="BM130" s="378">
        <v>257.33820000000003</v>
      </c>
      <c r="BN130" s="378"/>
      <c r="BO130" s="378">
        <v>295.86979999999994</v>
      </c>
      <c r="BP130" s="378"/>
      <c r="BQ130" s="378">
        <v>250.77799999999968</v>
      </c>
      <c r="BR130" s="378"/>
      <c r="BS130" s="378">
        <v>384.75120000000015</v>
      </c>
      <c r="BT130" s="378"/>
      <c r="BU130" s="378">
        <v>200.05800000000005</v>
      </c>
      <c r="BV130" s="378"/>
      <c r="BW130" s="378">
        <v>151.10599999999999</v>
      </c>
      <c r="BX130" s="378"/>
      <c r="BY130" s="378">
        <v>203.55299999999983</v>
      </c>
      <c r="BZ130" s="378"/>
      <c r="CA130" s="378">
        <v>132.2750000000002</v>
      </c>
      <c r="CB130" s="378"/>
      <c r="CC130" s="378">
        <v>193.60100000000006</v>
      </c>
      <c r="CD130" s="378"/>
      <c r="CE130" s="378">
        <v>195.40900000000005</v>
      </c>
      <c r="CF130" s="378"/>
      <c r="CG130" s="378">
        <v>169.12</v>
      </c>
      <c r="CH130" s="378"/>
      <c r="CI130" s="378">
        <v>222.10799999999961</v>
      </c>
      <c r="CJ130" s="378"/>
      <c r="CK130" s="378">
        <v>227.81700000000001</v>
      </c>
      <c r="CL130" s="378"/>
      <c r="CM130" s="378">
        <v>295.05599999999993</v>
      </c>
      <c r="CN130" s="378"/>
      <c r="CO130" s="378">
        <v>190.44899999999973</v>
      </c>
      <c r="CP130" s="378"/>
      <c r="CQ130" s="378">
        <v>362.31200000000013</v>
      </c>
      <c r="CR130" s="378"/>
      <c r="CS130" s="378">
        <v>211.709</v>
      </c>
      <c r="CT130" s="378"/>
      <c r="CU130" s="378">
        <v>127.17399999999998</v>
      </c>
      <c r="CV130" s="378"/>
      <c r="CW130" s="378">
        <v>139.88200000000012</v>
      </c>
      <c r="CX130" s="378"/>
      <c r="CY130" s="378">
        <v>255.98000000000013</v>
      </c>
      <c r="CZ130" s="378"/>
      <c r="DA130" s="378">
        <v>102.37003799999999</v>
      </c>
      <c r="DB130" s="378"/>
      <c r="DC130" s="378">
        <v>148.085362</v>
      </c>
      <c r="DD130" s="378"/>
      <c r="DE130" s="378">
        <v>71.503600000000006</v>
      </c>
      <c r="DF130" s="378"/>
      <c r="DG130" s="378">
        <v>246.49300000000002</v>
      </c>
      <c r="DH130" s="378"/>
      <c r="DI130" s="378">
        <v>110.53320000000001</v>
      </c>
      <c r="DJ130" s="378"/>
      <c r="DK130" s="378">
        <v>164.68700000000004</v>
      </c>
      <c r="DL130" s="378"/>
      <c r="DM130" s="378">
        <v>303.21949999999998</v>
      </c>
      <c r="DN130" s="378"/>
      <c r="DO130" s="378">
        <v>484.68279999999993</v>
      </c>
      <c r="DP130" s="375"/>
    </row>
    <row r="131" spans="2:120" ht="16.5" customHeight="1" x14ac:dyDescent="0.2">
      <c r="D131" s="347" t="s">
        <v>650</v>
      </c>
      <c r="O131" s="380">
        <v>838.76200000000017</v>
      </c>
      <c r="P131" s="380"/>
      <c r="Q131" s="381">
        <v>172.92099999999996</v>
      </c>
      <c r="R131" s="381"/>
      <c r="S131" s="381">
        <v>171.13200000000003</v>
      </c>
      <c r="T131" s="381"/>
      <c r="U131" s="381">
        <v>194.49</v>
      </c>
      <c r="V131" s="381"/>
      <c r="W131" s="381">
        <v>348.08299999999883</v>
      </c>
      <c r="X131" s="381"/>
      <c r="Y131" s="381">
        <v>177.28700000000001</v>
      </c>
      <c r="Z131" s="381"/>
      <c r="AA131" s="381">
        <v>124.53599999999997</v>
      </c>
      <c r="AB131" s="381"/>
      <c r="AC131" s="381">
        <v>211.274</v>
      </c>
      <c r="AD131" s="381"/>
      <c r="AE131" s="381">
        <v>362.40899999999874</v>
      </c>
      <c r="AF131" s="381"/>
      <c r="AG131" s="381">
        <v>109.95700000000005</v>
      </c>
      <c r="AH131" s="381"/>
      <c r="AI131" s="381">
        <v>138.86099999999996</v>
      </c>
      <c r="AJ131" s="381"/>
      <c r="AK131" s="381">
        <v>104.46499999999983</v>
      </c>
      <c r="AL131" s="381"/>
      <c r="AM131" s="381">
        <v>134.85600000000022</v>
      </c>
      <c r="AN131" s="381"/>
      <c r="AO131" s="381">
        <v>115.794</v>
      </c>
      <c r="AP131" s="381"/>
      <c r="AQ131" s="381">
        <v>96.820000000000007</v>
      </c>
      <c r="AR131" s="381"/>
      <c r="AS131" s="381">
        <v>94.862800000000192</v>
      </c>
      <c r="AT131" s="381"/>
      <c r="AU131" s="381">
        <v>312.77899999999971</v>
      </c>
      <c r="AV131" s="381"/>
      <c r="AW131" s="382">
        <v>145.24200000000002</v>
      </c>
      <c r="AX131" s="382"/>
      <c r="AY131" s="381">
        <v>254.1939999999999</v>
      </c>
      <c r="AZ131" s="381"/>
      <c r="BA131" s="381">
        <v>113.99900000000014</v>
      </c>
      <c r="BB131" s="381"/>
      <c r="BC131" s="381">
        <v>659.12909999999954</v>
      </c>
      <c r="BD131" s="381"/>
      <c r="BE131" s="381">
        <v>441.67599999999976</v>
      </c>
      <c r="BF131" s="381"/>
      <c r="BG131" s="381">
        <v>899.32300000000055</v>
      </c>
      <c r="BH131" s="381"/>
      <c r="BI131" s="381">
        <v>120.99599999999987</v>
      </c>
      <c r="BJ131" s="381"/>
      <c r="BK131" s="381">
        <v>379.69299999999976</v>
      </c>
      <c r="BL131" s="381"/>
      <c r="BM131" s="381">
        <v>161.79620000000006</v>
      </c>
      <c r="BN131" s="381"/>
      <c r="BO131" s="381">
        <v>231.3977999999999</v>
      </c>
      <c r="BP131" s="381"/>
      <c r="BQ131" s="381">
        <v>140.98299999999972</v>
      </c>
      <c r="BR131" s="381"/>
      <c r="BS131" s="381">
        <v>209.0902000000001</v>
      </c>
      <c r="BT131" s="381"/>
      <c r="BU131" s="381">
        <v>129.86400000000003</v>
      </c>
      <c r="BV131" s="381"/>
      <c r="BW131" s="381">
        <v>113.06800000000001</v>
      </c>
      <c r="BX131" s="381"/>
      <c r="BY131" s="381">
        <v>113.72699999999989</v>
      </c>
      <c r="BZ131" s="381"/>
      <c r="CA131" s="381">
        <v>94.151000000000124</v>
      </c>
      <c r="CB131" s="381"/>
      <c r="CC131" s="381">
        <v>119.77300000000005</v>
      </c>
      <c r="CD131" s="381"/>
      <c r="CE131" s="381">
        <v>173.38700000000003</v>
      </c>
      <c r="CF131" s="381"/>
      <c r="CG131" s="381">
        <v>135.55500000000001</v>
      </c>
      <c r="CH131" s="381"/>
      <c r="CI131" s="381">
        <v>164.82299999999958</v>
      </c>
      <c r="CJ131" s="381"/>
      <c r="CK131" s="381">
        <v>189.66200000000001</v>
      </c>
      <c r="CL131" s="381"/>
      <c r="CM131" s="381">
        <v>226.39699999999996</v>
      </c>
      <c r="CN131" s="381"/>
      <c r="CO131" s="381">
        <v>119.99599999999975</v>
      </c>
      <c r="CP131" s="381"/>
      <c r="CQ131" s="381">
        <v>257.21000000000015</v>
      </c>
      <c r="CR131" s="381"/>
      <c r="CS131" s="381">
        <v>178.511</v>
      </c>
      <c r="CT131" s="381"/>
      <c r="CU131" s="381">
        <v>125.87799999999996</v>
      </c>
      <c r="CV131" s="381"/>
      <c r="CW131" s="381">
        <v>137.77500000000015</v>
      </c>
      <c r="CX131" s="381"/>
      <c r="CY131" s="381">
        <v>246.84600000000012</v>
      </c>
      <c r="CZ131" s="381"/>
      <c r="DA131" s="381">
        <v>85.648099999999999</v>
      </c>
      <c r="DB131" s="381"/>
      <c r="DC131" s="381">
        <v>141.9443</v>
      </c>
      <c r="DD131" s="381"/>
      <c r="DE131" s="381">
        <v>47.686900000000009</v>
      </c>
      <c r="DF131" s="381"/>
      <c r="DG131" s="381">
        <v>207.84570000000002</v>
      </c>
      <c r="DH131" s="381"/>
      <c r="DI131" s="381">
        <v>103.66370000000001</v>
      </c>
      <c r="DJ131" s="381"/>
      <c r="DK131" s="381">
        <v>161.21160000000003</v>
      </c>
      <c r="DM131" s="381">
        <v>216.84539999999998</v>
      </c>
      <c r="DN131" s="381"/>
      <c r="DO131" s="381">
        <v>470.9027999999999</v>
      </c>
    </row>
    <row r="132" spans="2:120" ht="16.5" customHeight="1" x14ac:dyDescent="0.2">
      <c r="D132" s="347" t="s">
        <v>651</v>
      </c>
      <c r="O132" s="380">
        <v>440.39300000000009</v>
      </c>
      <c r="P132" s="380"/>
      <c r="Q132" s="381">
        <v>46.121999999999986</v>
      </c>
      <c r="R132" s="381"/>
      <c r="S132" s="381">
        <v>150.03600000000003</v>
      </c>
      <c r="T132" s="381"/>
      <c r="U132" s="381">
        <v>135.43300000000022</v>
      </c>
      <c r="V132" s="381"/>
      <c r="W132" s="381">
        <v>173.1879999999997</v>
      </c>
      <c r="X132" s="381"/>
      <c r="Y132" s="381">
        <v>265.03399999999999</v>
      </c>
      <c r="Z132" s="381"/>
      <c r="AA132" s="381">
        <v>286.12400000000002</v>
      </c>
      <c r="AB132" s="381"/>
      <c r="AC132" s="381">
        <v>109.4479999999993</v>
      </c>
      <c r="AD132" s="381"/>
      <c r="AE132" s="381">
        <v>80.146000000000754</v>
      </c>
      <c r="AF132" s="381"/>
      <c r="AG132" s="381">
        <v>234.78199999999998</v>
      </c>
      <c r="AH132" s="381"/>
      <c r="AI132" s="381">
        <v>31.49799999999999</v>
      </c>
      <c r="AJ132" s="381"/>
      <c r="AK132" s="381">
        <v>38.878000000000043</v>
      </c>
      <c r="AL132" s="381"/>
      <c r="AM132" s="381">
        <v>174.86200000000008</v>
      </c>
      <c r="AN132" s="381"/>
      <c r="AO132" s="381">
        <v>47.559000000000005</v>
      </c>
      <c r="AP132" s="381"/>
      <c r="AQ132" s="381">
        <v>71.995999999999981</v>
      </c>
      <c r="AR132" s="381"/>
      <c r="AS132" s="381">
        <v>16.146000000000001</v>
      </c>
      <c r="AT132" s="381"/>
      <c r="AU132" s="381">
        <v>45.04000000000002</v>
      </c>
      <c r="AV132" s="381"/>
      <c r="AW132" s="382">
        <v>70.888000000000005</v>
      </c>
      <c r="AX132" s="382"/>
      <c r="AY132" s="381">
        <v>130.935</v>
      </c>
      <c r="AZ132" s="381"/>
      <c r="BA132" s="381">
        <v>80.243999999999943</v>
      </c>
      <c r="BB132" s="381"/>
      <c r="BC132" s="381">
        <v>255.661</v>
      </c>
      <c r="BD132" s="381"/>
      <c r="BE132" s="381">
        <v>104.693</v>
      </c>
      <c r="BF132" s="381"/>
      <c r="BG132" s="381">
        <v>177.2120000000001</v>
      </c>
      <c r="BH132" s="381"/>
      <c r="BI132" s="381">
        <v>111.93400000000003</v>
      </c>
      <c r="BJ132" s="381"/>
      <c r="BK132" s="381">
        <v>131.33200000000005</v>
      </c>
      <c r="BL132" s="381"/>
      <c r="BM132" s="381">
        <v>95.541999999999987</v>
      </c>
      <c r="BN132" s="381"/>
      <c r="BO132" s="381">
        <v>64.472000000000023</v>
      </c>
      <c r="BP132" s="381"/>
      <c r="BQ132" s="381">
        <v>109.79499999999996</v>
      </c>
      <c r="BR132" s="381"/>
      <c r="BS132" s="381">
        <v>175.66100000000006</v>
      </c>
      <c r="BT132" s="381"/>
      <c r="BU132" s="381">
        <v>70.194000000000003</v>
      </c>
      <c r="BV132" s="381"/>
      <c r="BW132" s="381">
        <v>38.038000000000011</v>
      </c>
      <c r="BX132" s="381"/>
      <c r="BY132" s="381">
        <v>89.825999999999951</v>
      </c>
      <c r="BZ132" s="381"/>
      <c r="CA132" s="381">
        <v>38.124000000000052</v>
      </c>
      <c r="CB132" s="381"/>
      <c r="CC132" s="381">
        <v>73.828000000000003</v>
      </c>
      <c r="CD132" s="381"/>
      <c r="CE132" s="381">
        <v>22.022000000000006</v>
      </c>
      <c r="CF132" s="381"/>
      <c r="CG132" s="381">
        <v>33.565000000000012</v>
      </c>
      <c r="CH132" s="381"/>
      <c r="CI132" s="381">
        <v>57.285000000000025</v>
      </c>
      <c r="CJ132" s="381"/>
      <c r="CK132" s="381">
        <v>38.155000000000001</v>
      </c>
      <c r="CL132" s="381"/>
      <c r="CM132" s="381">
        <v>68.658999999999992</v>
      </c>
      <c r="CN132" s="381"/>
      <c r="CO132" s="381">
        <v>70.453000000000003</v>
      </c>
      <c r="CP132" s="381"/>
      <c r="CQ132" s="381">
        <v>105.10199999999992</v>
      </c>
      <c r="CR132" s="381"/>
      <c r="CS132" s="381">
        <v>33.198</v>
      </c>
      <c r="CT132" s="381"/>
      <c r="CU132" s="381">
        <v>1.2960000000000065</v>
      </c>
      <c r="CV132" s="381"/>
      <c r="CW132" s="381">
        <v>2.1069999999999922</v>
      </c>
      <c r="CX132" s="381"/>
      <c r="CY132" s="381">
        <v>9.1340000000000074</v>
      </c>
      <c r="CZ132" s="381"/>
      <c r="DA132" s="381">
        <v>16.721938000000002</v>
      </c>
      <c r="DB132" s="381"/>
      <c r="DC132" s="381">
        <v>6.1410620000000078</v>
      </c>
      <c r="DD132" s="381"/>
      <c r="DE132" s="381">
        <v>23.816699999999997</v>
      </c>
      <c r="DF132" s="381"/>
      <c r="DG132" s="381">
        <v>38.647300000000001</v>
      </c>
      <c r="DH132" s="381"/>
      <c r="DI132" s="381">
        <v>6.8695000000000004</v>
      </c>
      <c r="DJ132" s="381"/>
      <c r="DK132" s="381">
        <v>3.4754000000000005</v>
      </c>
      <c r="DM132" s="381">
        <v>86.374099999999999</v>
      </c>
      <c r="DN132" s="381"/>
      <c r="DO132" s="381">
        <v>13.780000000000001</v>
      </c>
    </row>
    <row r="133" spans="2:120" x14ac:dyDescent="0.2">
      <c r="DM133" s="383"/>
    </row>
    <row r="134" spans="2:120" x14ac:dyDescent="0.2">
      <c r="DA134" s="349"/>
      <c r="DB134" s="349"/>
      <c r="DC134" s="349"/>
      <c r="DD134" s="349"/>
      <c r="DE134" s="349"/>
      <c r="DF134" s="349"/>
      <c r="DG134" s="349"/>
      <c r="DI134" s="349"/>
      <c r="DK134" s="349"/>
      <c r="DM134" s="349"/>
      <c r="DO134" s="349"/>
    </row>
    <row r="135" spans="2:120" x14ac:dyDescent="0.2">
      <c r="B135" s="272" t="s">
        <v>559</v>
      </c>
      <c r="DA135" s="384"/>
      <c r="DB135" s="384"/>
      <c r="DC135" s="384"/>
      <c r="DD135" s="384"/>
      <c r="DE135" s="384"/>
      <c r="DF135" s="384"/>
      <c r="DG135" s="384"/>
      <c r="DI135" s="385"/>
      <c r="DJ135" s="385"/>
      <c r="DK135" s="385"/>
      <c r="DL135" s="385"/>
      <c r="DM135" s="385"/>
      <c r="DN135" s="385"/>
      <c r="DO135" s="385"/>
    </row>
    <row r="136" spans="2:120" x14ac:dyDescent="0.2">
      <c r="Q136" s="381"/>
      <c r="Y136" s="381"/>
      <c r="AG136" s="381"/>
      <c r="AO136" s="381"/>
      <c r="AW136" s="381"/>
      <c r="AX136" s="347"/>
      <c r="BE136" s="381"/>
      <c r="BM136" s="381"/>
      <c r="BU136" s="381"/>
      <c r="CC136" s="381"/>
      <c r="CK136" s="381"/>
      <c r="CS136" s="381"/>
      <c r="DA136" s="381"/>
      <c r="DI136" s="381"/>
    </row>
    <row r="137" spans="2:120" x14ac:dyDescent="0.2">
      <c r="Q137" s="381"/>
      <c r="Y137" s="381"/>
      <c r="AG137" s="381"/>
      <c r="AO137" s="381"/>
      <c r="AW137" s="381"/>
      <c r="AX137" s="347"/>
      <c r="BE137" s="381"/>
      <c r="BM137" s="381"/>
      <c r="BU137" s="381"/>
      <c r="CC137" s="381"/>
      <c r="CK137" s="381"/>
      <c r="CS137" s="381"/>
      <c r="DA137" s="381"/>
      <c r="DI137" s="381"/>
    </row>
    <row r="138" spans="2:120" x14ac:dyDescent="0.2">
      <c r="Q138" s="381"/>
      <c r="Y138" s="381"/>
      <c r="AG138" s="381"/>
      <c r="AO138" s="381"/>
      <c r="AW138" s="381"/>
      <c r="AX138" s="347"/>
      <c r="BE138" s="381"/>
      <c r="BM138" s="381"/>
      <c r="BU138" s="381"/>
      <c r="CC138" s="381"/>
      <c r="CK138" s="381"/>
      <c r="CS138" s="381"/>
      <c r="DA138" s="381"/>
      <c r="DI138" s="381"/>
    </row>
    <row r="139" spans="2:120" x14ac:dyDescent="0.2">
      <c r="AW139" s="347"/>
      <c r="AX139" s="347"/>
    </row>
  </sheetData>
  <mergeCells count="56">
    <mergeCell ref="DM5:DN5"/>
    <mergeCell ref="DO5:DP5"/>
    <mergeCell ref="DA5:DB5"/>
    <mergeCell ref="DC5:DD5"/>
    <mergeCell ref="DE5:DF5"/>
    <mergeCell ref="DG5:DH5"/>
    <mergeCell ref="DI5:DJ5"/>
    <mergeCell ref="DK5:DL5"/>
    <mergeCell ref="CO5:CP5"/>
    <mergeCell ref="CQ5:CR5"/>
    <mergeCell ref="CS5:CT5"/>
    <mergeCell ref="CU5:CV5"/>
    <mergeCell ref="CW5:CX5"/>
    <mergeCell ref="CY5:CZ5"/>
    <mergeCell ref="CC5:CD5"/>
    <mergeCell ref="CE5:CF5"/>
    <mergeCell ref="CG5:CH5"/>
    <mergeCell ref="CI5:CJ5"/>
    <mergeCell ref="CK5:CL5"/>
    <mergeCell ref="CM5:CN5"/>
    <mergeCell ref="BQ5:BR5"/>
    <mergeCell ref="BS5:BT5"/>
    <mergeCell ref="BU5:BV5"/>
    <mergeCell ref="BW5:BX5"/>
    <mergeCell ref="BY5:BZ5"/>
    <mergeCell ref="CA5:CB5"/>
    <mergeCell ref="BE5:BF5"/>
    <mergeCell ref="BG5:BH5"/>
    <mergeCell ref="BI5:BJ5"/>
    <mergeCell ref="BK5:BL5"/>
    <mergeCell ref="BM5:BN5"/>
    <mergeCell ref="BO5:BP5"/>
    <mergeCell ref="AS5:AT5"/>
    <mergeCell ref="AU5:AV5"/>
    <mergeCell ref="AW5:AX5"/>
    <mergeCell ref="AY5:AZ5"/>
    <mergeCell ref="BA5:BB5"/>
    <mergeCell ref="BC5:BD5"/>
    <mergeCell ref="AG5:AH5"/>
    <mergeCell ref="AI5:AJ5"/>
    <mergeCell ref="AK5:AL5"/>
    <mergeCell ref="AM5:AN5"/>
    <mergeCell ref="AO5:AP5"/>
    <mergeCell ref="AQ5:AR5"/>
    <mergeCell ref="U5:V5"/>
    <mergeCell ref="W5:X5"/>
    <mergeCell ref="Y5:Z5"/>
    <mergeCell ref="AA5:AB5"/>
    <mergeCell ref="AC5:AD5"/>
    <mergeCell ref="AE5:AF5"/>
    <mergeCell ref="I5:J5"/>
    <mergeCell ref="K5:L5"/>
    <mergeCell ref="M5:N5"/>
    <mergeCell ref="O5:P5"/>
    <mergeCell ref="Q5:R5"/>
    <mergeCell ref="S5:T5"/>
  </mergeCells>
  <hyperlinks>
    <hyperlink ref="DP2" location="Contents!A1" display="Back to Contents" xr:uid="{1F32DC1B-CD12-430E-92E7-BCF7B8D9DA41}"/>
  </hyperlinks>
  <pageMargins left="0.23" right="0.25" top="0.52" bottom="0.51" header="0.3" footer="0.3"/>
  <pageSetup paperSize="9" scale="80" fitToHeight="2" orientation="portrait" r:id="rId1"/>
  <headerFooter>
    <oddHeader>&amp;L&amp;"Calibri"&amp;10&amp;K000000 [Limited Sharing]&amp;1#_x000D_</oddHeader>
  </headerFooter>
  <rowBreaks count="1" manualBreakCount="1">
    <brk id="69" min="1" max="6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A4B5-593D-4897-AD4F-F651B4477175}">
  <sheetPr>
    <pageSetUpPr fitToPage="1"/>
  </sheetPr>
  <dimension ref="B2:DB131"/>
  <sheetViews>
    <sheetView showGridLines="0" topLeftCell="A4" zoomScaleNormal="100" workbookViewId="0">
      <pane xSplit="6" ySplit="7" topLeftCell="CI11" activePane="bottomRight" state="frozen"/>
      <selection activeCell="AA321" sqref="AA321"/>
      <selection pane="topRight" activeCell="AA321" sqref="AA321"/>
      <selection pane="bottomLeft" activeCell="AA321" sqref="AA321"/>
      <selection pane="bottomRight" activeCell="DB5" sqref="DB5"/>
    </sheetView>
  </sheetViews>
  <sheetFormatPr defaultRowHeight="15" x14ac:dyDescent="0.25"/>
  <cols>
    <col min="1" max="1" width="3.5703125" style="386" customWidth="1"/>
    <col min="2" max="2" width="4.42578125" style="386" customWidth="1"/>
    <col min="3" max="5" width="2.7109375" style="386" customWidth="1"/>
    <col min="6" max="6" width="41.7109375" style="386" customWidth="1"/>
    <col min="7" max="34" width="10.42578125" style="272" customWidth="1"/>
    <col min="35" max="36" width="10.42578125" style="329" customWidth="1"/>
    <col min="37" max="106" width="10.42578125" style="272" customWidth="1"/>
    <col min="107" max="158" width="9.140625" style="386"/>
    <col min="159" max="159" width="10.42578125" style="386" customWidth="1"/>
    <col min="160" max="160" width="11.42578125" style="386" customWidth="1"/>
    <col min="161" max="161" width="12.140625" style="386" customWidth="1"/>
    <col min="162" max="162" width="42.28515625" style="386" customWidth="1"/>
    <col min="163" max="414" width="9.140625" style="386"/>
    <col min="415" max="415" width="10.42578125" style="386" customWidth="1"/>
    <col min="416" max="416" width="11.42578125" style="386" customWidth="1"/>
    <col min="417" max="417" width="12.140625" style="386" customWidth="1"/>
    <col min="418" max="418" width="42.28515625" style="386" customWidth="1"/>
    <col min="419" max="670" width="9.140625" style="386"/>
    <col min="671" max="671" width="10.42578125" style="386" customWidth="1"/>
    <col min="672" max="672" width="11.42578125" style="386" customWidth="1"/>
    <col min="673" max="673" width="12.140625" style="386" customWidth="1"/>
    <col min="674" max="674" width="42.28515625" style="386" customWidth="1"/>
    <col min="675" max="926" width="9.140625" style="386"/>
    <col min="927" max="927" width="10.42578125" style="386" customWidth="1"/>
    <col min="928" max="928" width="11.42578125" style="386" customWidth="1"/>
    <col min="929" max="929" width="12.140625" style="386" customWidth="1"/>
    <col min="930" max="930" width="42.28515625" style="386" customWidth="1"/>
    <col min="931" max="1182" width="9.140625" style="386"/>
    <col min="1183" max="1183" width="10.42578125" style="386" customWidth="1"/>
    <col min="1184" max="1184" width="11.42578125" style="386" customWidth="1"/>
    <col min="1185" max="1185" width="12.140625" style="386" customWidth="1"/>
    <col min="1186" max="1186" width="42.28515625" style="386" customWidth="1"/>
    <col min="1187" max="1438" width="9.140625" style="386"/>
    <col min="1439" max="1439" width="10.42578125" style="386" customWidth="1"/>
    <col min="1440" max="1440" width="11.42578125" style="386" customWidth="1"/>
    <col min="1441" max="1441" width="12.140625" style="386" customWidth="1"/>
    <col min="1442" max="1442" width="42.28515625" style="386" customWidth="1"/>
    <col min="1443" max="1694" width="9.140625" style="386"/>
    <col min="1695" max="1695" width="10.42578125" style="386" customWidth="1"/>
    <col min="1696" max="1696" width="11.42578125" style="386" customWidth="1"/>
    <col min="1697" max="1697" width="12.140625" style="386" customWidth="1"/>
    <col min="1698" max="1698" width="42.28515625" style="386" customWidth="1"/>
    <col min="1699" max="1950" width="9.140625" style="386"/>
    <col min="1951" max="1951" width="10.42578125" style="386" customWidth="1"/>
    <col min="1952" max="1952" width="11.42578125" style="386" customWidth="1"/>
    <col min="1953" max="1953" width="12.140625" style="386" customWidth="1"/>
    <col min="1954" max="1954" width="42.28515625" style="386" customWidth="1"/>
    <col min="1955" max="2206" width="9.140625" style="386"/>
    <col min="2207" max="2207" width="10.42578125" style="386" customWidth="1"/>
    <col min="2208" max="2208" width="11.42578125" style="386" customWidth="1"/>
    <col min="2209" max="2209" width="12.140625" style="386" customWidth="1"/>
    <col min="2210" max="2210" width="42.28515625" style="386" customWidth="1"/>
    <col min="2211" max="2462" width="9.140625" style="386"/>
    <col min="2463" max="2463" width="10.42578125" style="386" customWidth="1"/>
    <col min="2464" max="2464" width="11.42578125" style="386" customWidth="1"/>
    <col min="2465" max="2465" width="12.140625" style="386" customWidth="1"/>
    <col min="2466" max="2466" width="42.28515625" style="386" customWidth="1"/>
    <col min="2467" max="2718" width="9.140625" style="386"/>
    <col min="2719" max="2719" width="10.42578125" style="386" customWidth="1"/>
    <col min="2720" max="2720" width="11.42578125" style="386" customWidth="1"/>
    <col min="2721" max="2721" width="12.140625" style="386" customWidth="1"/>
    <col min="2722" max="2722" width="42.28515625" style="386" customWidth="1"/>
    <col min="2723" max="2974" width="9.140625" style="386"/>
    <col min="2975" max="2975" width="10.42578125" style="386" customWidth="1"/>
    <col min="2976" max="2976" width="11.42578125" style="386" customWidth="1"/>
    <col min="2977" max="2977" width="12.140625" style="386" customWidth="1"/>
    <col min="2978" max="2978" width="42.28515625" style="386" customWidth="1"/>
    <col min="2979" max="3230" width="9.140625" style="386"/>
    <col min="3231" max="3231" width="10.42578125" style="386" customWidth="1"/>
    <col min="3232" max="3232" width="11.42578125" style="386" customWidth="1"/>
    <col min="3233" max="3233" width="12.140625" style="386" customWidth="1"/>
    <col min="3234" max="3234" width="42.28515625" style="386" customWidth="1"/>
    <col min="3235" max="3486" width="9.140625" style="386"/>
    <col min="3487" max="3487" width="10.42578125" style="386" customWidth="1"/>
    <col min="3488" max="3488" width="11.42578125" style="386" customWidth="1"/>
    <col min="3489" max="3489" width="12.140625" style="386" customWidth="1"/>
    <col min="3490" max="3490" width="42.28515625" style="386" customWidth="1"/>
    <col min="3491" max="3742" width="9.140625" style="386"/>
    <col min="3743" max="3743" width="10.42578125" style="386" customWidth="1"/>
    <col min="3744" max="3744" width="11.42578125" style="386" customWidth="1"/>
    <col min="3745" max="3745" width="12.140625" style="386" customWidth="1"/>
    <col min="3746" max="3746" width="42.28515625" style="386" customWidth="1"/>
    <col min="3747" max="3998" width="9.140625" style="386"/>
    <col min="3999" max="3999" width="10.42578125" style="386" customWidth="1"/>
    <col min="4000" max="4000" width="11.42578125" style="386" customWidth="1"/>
    <col min="4001" max="4001" width="12.140625" style="386" customWidth="1"/>
    <col min="4002" max="4002" width="42.28515625" style="386" customWidth="1"/>
    <col min="4003" max="4254" width="9.140625" style="386"/>
    <col min="4255" max="4255" width="10.42578125" style="386" customWidth="1"/>
    <col min="4256" max="4256" width="11.42578125" style="386" customWidth="1"/>
    <col min="4257" max="4257" width="12.140625" style="386" customWidth="1"/>
    <col min="4258" max="4258" width="42.28515625" style="386" customWidth="1"/>
    <col min="4259" max="4510" width="9.140625" style="386"/>
    <col min="4511" max="4511" width="10.42578125" style="386" customWidth="1"/>
    <col min="4512" max="4512" width="11.42578125" style="386" customWidth="1"/>
    <col min="4513" max="4513" width="12.140625" style="386" customWidth="1"/>
    <col min="4514" max="4514" width="42.28515625" style="386" customWidth="1"/>
    <col min="4515" max="4766" width="9.140625" style="386"/>
    <col min="4767" max="4767" width="10.42578125" style="386" customWidth="1"/>
    <col min="4768" max="4768" width="11.42578125" style="386" customWidth="1"/>
    <col min="4769" max="4769" width="12.140625" style="386" customWidth="1"/>
    <col min="4770" max="4770" width="42.28515625" style="386" customWidth="1"/>
    <col min="4771" max="5022" width="9.140625" style="386"/>
    <col min="5023" max="5023" width="10.42578125" style="386" customWidth="1"/>
    <col min="5024" max="5024" width="11.42578125" style="386" customWidth="1"/>
    <col min="5025" max="5025" width="12.140625" style="386" customWidth="1"/>
    <col min="5026" max="5026" width="42.28515625" style="386" customWidth="1"/>
    <col min="5027" max="5278" width="9.140625" style="386"/>
    <col min="5279" max="5279" width="10.42578125" style="386" customWidth="1"/>
    <col min="5280" max="5280" width="11.42578125" style="386" customWidth="1"/>
    <col min="5281" max="5281" width="12.140625" style="386" customWidth="1"/>
    <col min="5282" max="5282" width="42.28515625" style="386" customWidth="1"/>
    <col min="5283" max="5534" width="9.140625" style="386"/>
    <col min="5535" max="5535" width="10.42578125" style="386" customWidth="1"/>
    <col min="5536" max="5536" width="11.42578125" style="386" customWidth="1"/>
    <col min="5537" max="5537" width="12.140625" style="386" customWidth="1"/>
    <col min="5538" max="5538" width="42.28515625" style="386" customWidth="1"/>
    <col min="5539" max="5790" width="9.140625" style="386"/>
    <col min="5791" max="5791" width="10.42578125" style="386" customWidth="1"/>
    <col min="5792" max="5792" width="11.42578125" style="386" customWidth="1"/>
    <col min="5793" max="5793" width="12.140625" style="386" customWidth="1"/>
    <col min="5794" max="5794" width="42.28515625" style="386" customWidth="1"/>
    <col min="5795" max="6046" width="9.140625" style="386"/>
    <col min="6047" max="6047" width="10.42578125" style="386" customWidth="1"/>
    <col min="6048" max="6048" width="11.42578125" style="386" customWidth="1"/>
    <col min="6049" max="6049" width="12.140625" style="386" customWidth="1"/>
    <col min="6050" max="6050" width="42.28515625" style="386" customWidth="1"/>
    <col min="6051" max="6302" width="9.140625" style="386"/>
    <col min="6303" max="6303" width="10.42578125" style="386" customWidth="1"/>
    <col min="6304" max="6304" width="11.42578125" style="386" customWidth="1"/>
    <col min="6305" max="6305" width="12.140625" style="386" customWidth="1"/>
    <col min="6306" max="6306" width="42.28515625" style="386" customWidth="1"/>
    <col min="6307" max="6558" width="9.140625" style="386"/>
    <col min="6559" max="6559" width="10.42578125" style="386" customWidth="1"/>
    <col min="6560" max="6560" width="11.42578125" style="386" customWidth="1"/>
    <col min="6561" max="6561" width="12.140625" style="386" customWidth="1"/>
    <col min="6562" max="6562" width="42.28515625" style="386" customWidth="1"/>
    <col min="6563" max="6814" width="9.140625" style="386"/>
    <col min="6815" max="6815" width="10.42578125" style="386" customWidth="1"/>
    <col min="6816" max="6816" width="11.42578125" style="386" customWidth="1"/>
    <col min="6817" max="6817" width="12.140625" style="386" customWidth="1"/>
    <col min="6818" max="6818" width="42.28515625" style="386" customWidth="1"/>
    <col min="6819" max="7070" width="9.140625" style="386"/>
    <col min="7071" max="7071" width="10.42578125" style="386" customWidth="1"/>
    <col min="7072" max="7072" width="11.42578125" style="386" customWidth="1"/>
    <col min="7073" max="7073" width="12.140625" style="386" customWidth="1"/>
    <col min="7074" max="7074" width="42.28515625" style="386" customWidth="1"/>
    <col min="7075" max="7326" width="9.140625" style="386"/>
    <col min="7327" max="7327" width="10.42578125" style="386" customWidth="1"/>
    <col min="7328" max="7328" width="11.42578125" style="386" customWidth="1"/>
    <col min="7329" max="7329" width="12.140625" style="386" customWidth="1"/>
    <col min="7330" max="7330" width="42.28515625" style="386" customWidth="1"/>
    <col min="7331" max="7582" width="9.140625" style="386"/>
    <col min="7583" max="7583" width="10.42578125" style="386" customWidth="1"/>
    <col min="7584" max="7584" width="11.42578125" style="386" customWidth="1"/>
    <col min="7585" max="7585" width="12.140625" style="386" customWidth="1"/>
    <col min="7586" max="7586" width="42.28515625" style="386" customWidth="1"/>
    <col min="7587" max="7838" width="9.140625" style="386"/>
    <col min="7839" max="7839" width="10.42578125" style="386" customWidth="1"/>
    <col min="7840" max="7840" width="11.42578125" style="386" customWidth="1"/>
    <col min="7841" max="7841" width="12.140625" style="386" customWidth="1"/>
    <col min="7842" max="7842" width="42.28515625" style="386" customWidth="1"/>
    <col min="7843" max="8094" width="9.140625" style="386"/>
    <col min="8095" max="8095" width="10.42578125" style="386" customWidth="1"/>
    <col min="8096" max="8096" width="11.42578125" style="386" customWidth="1"/>
    <col min="8097" max="8097" width="12.140625" style="386" customWidth="1"/>
    <col min="8098" max="8098" width="42.28515625" style="386" customWidth="1"/>
    <col min="8099" max="8350" width="9.140625" style="386"/>
    <col min="8351" max="8351" width="10.42578125" style="386" customWidth="1"/>
    <col min="8352" max="8352" width="11.42578125" style="386" customWidth="1"/>
    <col min="8353" max="8353" width="12.140625" style="386" customWidth="1"/>
    <col min="8354" max="8354" width="42.28515625" style="386" customWidth="1"/>
    <col min="8355" max="8606" width="9.140625" style="386"/>
    <col min="8607" max="8607" width="10.42578125" style="386" customWidth="1"/>
    <col min="8608" max="8608" width="11.42578125" style="386" customWidth="1"/>
    <col min="8609" max="8609" width="12.140625" style="386" customWidth="1"/>
    <col min="8610" max="8610" width="42.28515625" style="386" customWidth="1"/>
    <col min="8611" max="8862" width="9.140625" style="386"/>
    <col min="8863" max="8863" width="10.42578125" style="386" customWidth="1"/>
    <col min="8864" max="8864" width="11.42578125" style="386" customWidth="1"/>
    <col min="8865" max="8865" width="12.140625" style="386" customWidth="1"/>
    <col min="8866" max="8866" width="42.28515625" style="386" customWidth="1"/>
    <col min="8867" max="9118" width="9.140625" style="386"/>
    <col min="9119" max="9119" width="10.42578125" style="386" customWidth="1"/>
    <col min="9120" max="9120" width="11.42578125" style="386" customWidth="1"/>
    <col min="9121" max="9121" width="12.140625" style="386" customWidth="1"/>
    <col min="9122" max="9122" width="42.28515625" style="386" customWidth="1"/>
    <col min="9123" max="9374" width="9.140625" style="386"/>
    <col min="9375" max="9375" width="10.42578125" style="386" customWidth="1"/>
    <col min="9376" max="9376" width="11.42578125" style="386" customWidth="1"/>
    <col min="9377" max="9377" width="12.140625" style="386" customWidth="1"/>
    <col min="9378" max="9378" width="42.28515625" style="386" customWidth="1"/>
    <col min="9379" max="9630" width="9.140625" style="386"/>
    <col min="9631" max="9631" width="10.42578125" style="386" customWidth="1"/>
    <col min="9632" max="9632" width="11.42578125" style="386" customWidth="1"/>
    <col min="9633" max="9633" width="12.140625" style="386" customWidth="1"/>
    <col min="9634" max="9634" width="42.28515625" style="386" customWidth="1"/>
    <col min="9635" max="9886" width="9.140625" style="386"/>
    <col min="9887" max="9887" width="10.42578125" style="386" customWidth="1"/>
    <col min="9888" max="9888" width="11.42578125" style="386" customWidth="1"/>
    <col min="9889" max="9889" width="12.140625" style="386" customWidth="1"/>
    <col min="9890" max="9890" width="42.28515625" style="386" customWidth="1"/>
    <col min="9891" max="10142" width="9.140625" style="386"/>
    <col min="10143" max="10143" width="10.42578125" style="386" customWidth="1"/>
    <col min="10144" max="10144" width="11.42578125" style="386" customWidth="1"/>
    <col min="10145" max="10145" width="12.140625" style="386" customWidth="1"/>
    <col min="10146" max="10146" width="42.28515625" style="386" customWidth="1"/>
    <col min="10147" max="10398" width="9.140625" style="386"/>
    <col min="10399" max="10399" width="10.42578125" style="386" customWidth="1"/>
    <col min="10400" max="10400" width="11.42578125" style="386" customWidth="1"/>
    <col min="10401" max="10401" width="12.140625" style="386" customWidth="1"/>
    <col min="10402" max="10402" width="42.28515625" style="386" customWidth="1"/>
    <col min="10403" max="10654" width="9.140625" style="386"/>
    <col min="10655" max="10655" width="10.42578125" style="386" customWidth="1"/>
    <col min="10656" max="10656" width="11.42578125" style="386" customWidth="1"/>
    <col min="10657" max="10657" width="12.140625" style="386" customWidth="1"/>
    <col min="10658" max="10658" width="42.28515625" style="386" customWidth="1"/>
    <col min="10659" max="10910" width="9.140625" style="386"/>
    <col min="10911" max="10911" width="10.42578125" style="386" customWidth="1"/>
    <col min="10912" max="10912" width="11.42578125" style="386" customWidth="1"/>
    <col min="10913" max="10913" width="12.140625" style="386" customWidth="1"/>
    <col min="10914" max="10914" width="42.28515625" style="386" customWidth="1"/>
    <col min="10915" max="11166" width="9.140625" style="386"/>
    <col min="11167" max="11167" width="10.42578125" style="386" customWidth="1"/>
    <col min="11168" max="11168" width="11.42578125" style="386" customWidth="1"/>
    <col min="11169" max="11169" width="12.140625" style="386" customWidth="1"/>
    <col min="11170" max="11170" width="42.28515625" style="386" customWidth="1"/>
    <col min="11171" max="11422" width="9.140625" style="386"/>
    <col min="11423" max="11423" width="10.42578125" style="386" customWidth="1"/>
    <col min="11424" max="11424" width="11.42578125" style="386" customWidth="1"/>
    <col min="11425" max="11425" width="12.140625" style="386" customWidth="1"/>
    <col min="11426" max="11426" width="42.28515625" style="386" customWidth="1"/>
    <col min="11427" max="11678" width="9.140625" style="386"/>
    <col min="11679" max="11679" width="10.42578125" style="386" customWidth="1"/>
    <col min="11680" max="11680" width="11.42578125" style="386" customWidth="1"/>
    <col min="11681" max="11681" width="12.140625" style="386" customWidth="1"/>
    <col min="11682" max="11682" width="42.28515625" style="386" customWidth="1"/>
    <col min="11683" max="11934" width="9.140625" style="386"/>
    <col min="11935" max="11935" width="10.42578125" style="386" customWidth="1"/>
    <col min="11936" max="11936" width="11.42578125" style="386" customWidth="1"/>
    <col min="11937" max="11937" width="12.140625" style="386" customWidth="1"/>
    <col min="11938" max="11938" width="42.28515625" style="386" customWidth="1"/>
    <col min="11939" max="12190" width="9.140625" style="386"/>
    <col min="12191" max="12191" width="10.42578125" style="386" customWidth="1"/>
    <col min="12192" max="12192" width="11.42578125" style="386" customWidth="1"/>
    <col min="12193" max="12193" width="12.140625" style="386" customWidth="1"/>
    <col min="12194" max="12194" width="42.28515625" style="386" customWidth="1"/>
    <col min="12195" max="12446" width="9.140625" style="386"/>
    <col min="12447" max="12447" width="10.42578125" style="386" customWidth="1"/>
    <col min="12448" max="12448" width="11.42578125" style="386" customWidth="1"/>
    <col min="12449" max="12449" width="12.140625" style="386" customWidth="1"/>
    <col min="12450" max="12450" width="42.28515625" style="386" customWidth="1"/>
    <col min="12451" max="12702" width="9.140625" style="386"/>
    <col min="12703" max="12703" width="10.42578125" style="386" customWidth="1"/>
    <col min="12704" max="12704" width="11.42578125" style="386" customWidth="1"/>
    <col min="12705" max="12705" width="12.140625" style="386" customWidth="1"/>
    <col min="12706" max="12706" width="42.28515625" style="386" customWidth="1"/>
    <col min="12707" max="12958" width="9.140625" style="386"/>
    <col min="12959" max="12959" width="10.42578125" style="386" customWidth="1"/>
    <col min="12960" max="12960" width="11.42578125" style="386" customWidth="1"/>
    <col min="12961" max="12961" width="12.140625" style="386" customWidth="1"/>
    <col min="12962" max="12962" width="42.28515625" style="386" customWidth="1"/>
    <col min="12963" max="13214" width="9.140625" style="386"/>
    <col min="13215" max="13215" width="10.42578125" style="386" customWidth="1"/>
    <col min="13216" max="13216" width="11.42578125" style="386" customWidth="1"/>
    <col min="13217" max="13217" width="12.140625" style="386" customWidth="1"/>
    <col min="13218" max="13218" width="42.28515625" style="386" customWidth="1"/>
    <col min="13219" max="13470" width="9.140625" style="386"/>
    <col min="13471" max="13471" width="10.42578125" style="386" customWidth="1"/>
    <col min="13472" max="13472" width="11.42578125" style="386" customWidth="1"/>
    <col min="13473" max="13473" width="12.140625" style="386" customWidth="1"/>
    <col min="13474" max="13474" width="42.28515625" style="386" customWidth="1"/>
    <col min="13475" max="13726" width="9.140625" style="386"/>
    <col min="13727" max="13727" width="10.42578125" style="386" customWidth="1"/>
    <col min="13728" max="13728" width="11.42578125" style="386" customWidth="1"/>
    <col min="13729" max="13729" width="12.140625" style="386" customWidth="1"/>
    <col min="13730" max="13730" width="42.28515625" style="386" customWidth="1"/>
    <col min="13731" max="13982" width="9.140625" style="386"/>
    <col min="13983" max="13983" width="10.42578125" style="386" customWidth="1"/>
    <col min="13984" max="13984" width="11.42578125" style="386" customWidth="1"/>
    <col min="13985" max="13985" width="12.140625" style="386" customWidth="1"/>
    <col min="13986" max="13986" width="42.28515625" style="386" customWidth="1"/>
    <col min="13987" max="14238" width="9.140625" style="386"/>
    <col min="14239" max="14239" width="10.42578125" style="386" customWidth="1"/>
    <col min="14240" max="14240" width="11.42578125" style="386" customWidth="1"/>
    <col min="14241" max="14241" width="12.140625" style="386" customWidth="1"/>
    <col min="14242" max="14242" width="42.28515625" style="386" customWidth="1"/>
    <col min="14243" max="14494" width="9.140625" style="386"/>
    <col min="14495" max="14495" width="10.42578125" style="386" customWidth="1"/>
    <col min="14496" max="14496" width="11.42578125" style="386" customWidth="1"/>
    <col min="14497" max="14497" width="12.140625" style="386" customWidth="1"/>
    <col min="14498" max="14498" width="42.28515625" style="386" customWidth="1"/>
    <col min="14499" max="14750" width="9.140625" style="386"/>
    <col min="14751" max="14751" width="10.42578125" style="386" customWidth="1"/>
    <col min="14752" max="14752" width="11.42578125" style="386" customWidth="1"/>
    <col min="14753" max="14753" width="12.140625" style="386" customWidth="1"/>
    <col min="14754" max="14754" width="42.28515625" style="386" customWidth="1"/>
    <col min="14755" max="15006" width="9.140625" style="386"/>
    <col min="15007" max="15007" width="10.42578125" style="386" customWidth="1"/>
    <col min="15008" max="15008" width="11.42578125" style="386" customWidth="1"/>
    <col min="15009" max="15009" width="12.140625" style="386" customWidth="1"/>
    <col min="15010" max="15010" width="42.28515625" style="386" customWidth="1"/>
    <col min="15011" max="15262" width="9.140625" style="386"/>
    <col min="15263" max="15263" width="10.42578125" style="386" customWidth="1"/>
    <col min="15264" max="15264" width="11.42578125" style="386" customWidth="1"/>
    <col min="15265" max="15265" width="12.140625" style="386" customWidth="1"/>
    <col min="15266" max="15266" width="42.28515625" style="386" customWidth="1"/>
    <col min="15267" max="15518" width="9.140625" style="386"/>
    <col min="15519" max="15519" width="10.42578125" style="386" customWidth="1"/>
    <col min="15520" max="15520" width="11.42578125" style="386" customWidth="1"/>
    <col min="15521" max="15521" width="12.140625" style="386" customWidth="1"/>
    <col min="15522" max="15522" width="42.28515625" style="386" customWidth="1"/>
    <col min="15523" max="15774" width="9.140625" style="386"/>
    <col min="15775" max="15775" width="10.42578125" style="386" customWidth="1"/>
    <col min="15776" max="15776" width="11.42578125" style="386" customWidth="1"/>
    <col min="15777" max="15777" width="12.140625" style="386" customWidth="1"/>
    <col min="15778" max="15778" width="42.28515625" style="386" customWidth="1"/>
    <col min="15779" max="16030" width="9.140625" style="386"/>
    <col min="16031" max="16031" width="10.42578125" style="386" customWidth="1"/>
    <col min="16032" max="16032" width="11.42578125" style="386" customWidth="1"/>
    <col min="16033" max="16033" width="12.140625" style="386" customWidth="1"/>
    <col min="16034" max="16034" width="42.28515625" style="386" customWidth="1"/>
    <col min="16035" max="16365" width="9.140625" style="386"/>
    <col min="16366" max="16384" width="9.140625" style="386" customWidth="1"/>
  </cols>
  <sheetData>
    <row r="2" spans="2:106" ht="18" customHeight="1" x14ac:dyDescent="0.25">
      <c r="B2" s="386" t="s">
        <v>652</v>
      </c>
    </row>
    <row r="3" spans="2:106" s="389" customFormat="1" ht="18" customHeight="1" x14ac:dyDescent="0.25">
      <c r="B3" s="387" t="s">
        <v>653</v>
      </c>
      <c r="C3" s="387"/>
      <c r="D3" s="387"/>
      <c r="E3" s="387"/>
      <c r="F3" s="387"/>
      <c r="G3" s="388"/>
      <c r="H3" s="388"/>
      <c r="AI3" s="390"/>
      <c r="AJ3" s="390"/>
    </row>
    <row r="4" spans="2:106" ht="18" customHeight="1" x14ac:dyDescent="0.25">
      <c r="B4" s="391"/>
      <c r="C4" s="391"/>
      <c r="D4" s="391"/>
      <c r="E4" s="391"/>
      <c r="F4" s="392"/>
      <c r="G4" s="287"/>
      <c r="H4" s="287"/>
      <c r="I4" s="393"/>
      <c r="J4" s="393"/>
      <c r="K4" s="393"/>
      <c r="L4" s="393"/>
      <c r="M4" s="393"/>
      <c r="N4" s="393"/>
      <c r="O4" s="393"/>
      <c r="P4" s="393"/>
      <c r="Q4" s="393"/>
      <c r="R4" s="393"/>
      <c r="S4" s="393"/>
      <c r="T4" s="393"/>
      <c r="DB4" s="282" t="s">
        <v>654</v>
      </c>
    </row>
    <row r="5" spans="2:106" ht="18" customHeight="1" x14ac:dyDescent="0.25">
      <c r="B5" s="273" t="s">
        <v>29</v>
      </c>
      <c r="C5" s="391"/>
      <c r="D5" s="391"/>
      <c r="E5" s="391"/>
      <c r="F5" s="392"/>
      <c r="G5" s="287"/>
      <c r="H5" s="287"/>
      <c r="I5" s="393"/>
      <c r="J5" s="393"/>
      <c r="K5" s="393"/>
      <c r="L5" s="393"/>
      <c r="M5" s="393"/>
      <c r="N5" s="393"/>
      <c r="O5" s="393"/>
      <c r="P5" s="393"/>
      <c r="Q5" s="393"/>
      <c r="R5" s="393"/>
      <c r="S5" s="393"/>
      <c r="T5" s="393"/>
      <c r="DB5" s="56" t="s">
        <v>10</v>
      </c>
    </row>
    <row r="6" spans="2:106" ht="18" customHeight="1" x14ac:dyDescent="0.25">
      <c r="B6" s="273" t="s">
        <v>286</v>
      </c>
      <c r="C6" s="391"/>
      <c r="D6" s="391"/>
      <c r="E6" s="391"/>
      <c r="F6" s="392"/>
      <c r="G6" s="287"/>
      <c r="H6" s="287"/>
      <c r="I6" s="393"/>
      <c r="J6" s="393"/>
      <c r="K6" s="393"/>
      <c r="L6" s="393"/>
      <c r="M6" s="393"/>
      <c r="N6" s="393"/>
      <c r="O6" s="393"/>
      <c r="P6" s="393"/>
      <c r="Q6" s="393"/>
      <c r="R6" s="393"/>
      <c r="S6" s="393"/>
      <c r="T6" s="393"/>
    </row>
    <row r="7" spans="2:106" ht="30" customHeight="1" x14ac:dyDescent="0.3">
      <c r="B7" s="283" t="s">
        <v>390</v>
      </c>
      <c r="C7" s="391"/>
      <c r="D7" s="391"/>
      <c r="E7" s="391"/>
      <c r="F7" s="392"/>
      <c r="G7" s="287"/>
      <c r="H7" s="287"/>
      <c r="I7" s="393"/>
      <c r="J7" s="393"/>
      <c r="K7" s="393"/>
      <c r="L7" s="393"/>
      <c r="M7" s="393"/>
      <c r="N7" s="393"/>
      <c r="O7" s="393"/>
      <c r="P7" s="393"/>
      <c r="Q7" s="393"/>
      <c r="R7" s="393"/>
      <c r="S7" s="393"/>
      <c r="T7" s="393"/>
    </row>
    <row r="8" spans="2:106" ht="18" customHeight="1" x14ac:dyDescent="0.25">
      <c r="B8" s="391"/>
      <c r="C8" s="391"/>
      <c r="D8" s="391"/>
      <c r="E8" s="391"/>
      <c r="F8" s="392"/>
      <c r="G8" s="287"/>
      <c r="H8" s="287"/>
      <c r="I8" s="393"/>
      <c r="J8" s="393"/>
      <c r="K8" s="393"/>
      <c r="L8" s="393"/>
      <c r="M8" s="393"/>
      <c r="N8" s="393"/>
      <c r="O8" s="393"/>
      <c r="P8" s="393"/>
      <c r="Q8" s="393"/>
      <c r="R8" s="393"/>
      <c r="S8" s="393"/>
      <c r="T8" s="393"/>
      <c r="DB8" s="394" t="s">
        <v>655</v>
      </c>
    </row>
    <row r="9" spans="2:106" s="399" customFormat="1" ht="24.75" customHeight="1" x14ac:dyDescent="0.2">
      <c r="B9" s="289" t="s">
        <v>656</v>
      </c>
      <c r="C9" s="395"/>
      <c r="D9" s="395"/>
      <c r="E9" s="395"/>
      <c r="F9" s="395"/>
      <c r="G9" s="396" t="s">
        <v>657</v>
      </c>
      <c r="H9" s="396"/>
      <c r="I9" s="397" t="s">
        <v>658</v>
      </c>
      <c r="J9" s="397"/>
      <c r="K9" s="396" t="s">
        <v>659</v>
      </c>
      <c r="L9" s="396"/>
      <c r="M9" s="397" t="s">
        <v>660</v>
      </c>
      <c r="N9" s="397"/>
      <c r="O9" s="396" t="s">
        <v>661</v>
      </c>
      <c r="P9" s="396"/>
      <c r="Q9" s="397" t="s">
        <v>662</v>
      </c>
      <c r="R9" s="397"/>
      <c r="S9" s="396" t="s">
        <v>663</v>
      </c>
      <c r="T9" s="396"/>
      <c r="U9" s="397" t="s">
        <v>664</v>
      </c>
      <c r="V9" s="397"/>
      <c r="W9" s="396" t="s">
        <v>665</v>
      </c>
      <c r="X9" s="396"/>
      <c r="Y9" s="397" t="s">
        <v>666</v>
      </c>
      <c r="Z9" s="397"/>
      <c r="AA9" s="396" t="s">
        <v>667</v>
      </c>
      <c r="AB9" s="396"/>
      <c r="AC9" s="397" t="s">
        <v>668</v>
      </c>
      <c r="AD9" s="397"/>
      <c r="AE9" s="396" t="s">
        <v>669</v>
      </c>
      <c r="AF9" s="396"/>
      <c r="AG9" s="397" t="s">
        <v>670</v>
      </c>
      <c r="AH9" s="397"/>
      <c r="AI9" s="398" t="s">
        <v>671</v>
      </c>
      <c r="AJ9" s="398"/>
      <c r="AK9" s="397" t="s">
        <v>672</v>
      </c>
      <c r="AL9" s="397"/>
      <c r="AM9" s="396" t="s">
        <v>673</v>
      </c>
      <c r="AN9" s="396"/>
      <c r="AO9" s="397" t="s">
        <v>674</v>
      </c>
      <c r="AP9" s="397"/>
      <c r="AQ9" s="396" t="s">
        <v>675</v>
      </c>
      <c r="AR9" s="396"/>
      <c r="AS9" s="397" t="s">
        <v>676</v>
      </c>
      <c r="AT9" s="397"/>
      <c r="AU9" s="396" t="s">
        <v>677</v>
      </c>
      <c r="AV9" s="396"/>
      <c r="AW9" s="397" t="s">
        <v>678</v>
      </c>
      <c r="AX9" s="397"/>
      <c r="AY9" s="396" t="s">
        <v>679</v>
      </c>
      <c r="AZ9" s="396"/>
      <c r="BA9" s="397" t="s">
        <v>680</v>
      </c>
      <c r="BB9" s="397"/>
      <c r="BC9" s="396" t="s">
        <v>681</v>
      </c>
      <c r="BD9" s="396"/>
      <c r="BE9" s="397" t="s">
        <v>682</v>
      </c>
      <c r="BF9" s="397"/>
      <c r="BG9" s="396" t="s">
        <v>683</v>
      </c>
      <c r="BH9" s="396"/>
      <c r="BI9" s="397" t="s">
        <v>684</v>
      </c>
      <c r="BJ9" s="397"/>
      <c r="BK9" s="396" t="s">
        <v>685</v>
      </c>
      <c r="BL9" s="396"/>
      <c r="BM9" s="397" t="s">
        <v>686</v>
      </c>
      <c r="BN9" s="397"/>
      <c r="BO9" s="396" t="s">
        <v>687</v>
      </c>
      <c r="BP9" s="396"/>
      <c r="BQ9" s="397" t="s">
        <v>688</v>
      </c>
      <c r="BR9" s="397"/>
      <c r="BS9" s="396" t="s">
        <v>689</v>
      </c>
      <c r="BT9" s="396"/>
      <c r="BU9" s="397" t="s">
        <v>690</v>
      </c>
      <c r="BV9" s="397"/>
      <c r="BW9" s="396" t="s">
        <v>691</v>
      </c>
      <c r="BX9" s="396"/>
      <c r="BY9" s="397" t="s">
        <v>692</v>
      </c>
      <c r="BZ9" s="397"/>
      <c r="CA9" s="396" t="s">
        <v>693</v>
      </c>
      <c r="CB9" s="396"/>
      <c r="CC9" s="397" t="s">
        <v>694</v>
      </c>
      <c r="CD9" s="397"/>
      <c r="CE9" s="396" t="s">
        <v>695</v>
      </c>
      <c r="CF9" s="396"/>
      <c r="CG9" s="397" t="s">
        <v>696</v>
      </c>
      <c r="CH9" s="397"/>
      <c r="CI9" s="396" t="s">
        <v>697</v>
      </c>
      <c r="CJ9" s="396"/>
      <c r="CK9" s="397" t="s">
        <v>698</v>
      </c>
      <c r="CL9" s="397"/>
      <c r="CM9" s="396" t="s">
        <v>699</v>
      </c>
      <c r="CN9" s="396"/>
      <c r="CO9" s="397" t="s">
        <v>700</v>
      </c>
      <c r="CP9" s="397"/>
      <c r="CQ9" s="396" t="s">
        <v>701</v>
      </c>
      <c r="CR9" s="396"/>
      <c r="CS9" s="397" t="s">
        <v>702</v>
      </c>
      <c r="CT9" s="397"/>
      <c r="CU9" s="396" t="s">
        <v>703</v>
      </c>
      <c r="CV9" s="396"/>
      <c r="CW9" s="397" t="s">
        <v>704</v>
      </c>
      <c r="CX9" s="397"/>
      <c r="CY9" s="396" t="s">
        <v>705</v>
      </c>
      <c r="CZ9" s="396"/>
      <c r="DA9" s="397" t="s">
        <v>706</v>
      </c>
      <c r="DB9" s="397"/>
    </row>
    <row r="10" spans="2:106" s="274" customFormat="1" ht="21.75" customHeight="1" thickBot="1" x14ac:dyDescent="0.25">
      <c r="B10" s="400"/>
      <c r="C10" s="400"/>
      <c r="D10" s="400"/>
      <c r="E10" s="400"/>
      <c r="F10" s="400"/>
      <c r="G10" s="401" t="s">
        <v>707</v>
      </c>
      <c r="H10" s="401" t="s">
        <v>708</v>
      </c>
      <c r="I10" s="402" t="s">
        <v>707</v>
      </c>
      <c r="J10" s="402" t="s">
        <v>708</v>
      </c>
      <c r="K10" s="401" t="s">
        <v>707</v>
      </c>
      <c r="L10" s="401" t="s">
        <v>708</v>
      </c>
      <c r="M10" s="402" t="s">
        <v>707</v>
      </c>
      <c r="N10" s="402" t="s">
        <v>708</v>
      </c>
      <c r="O10" s="401" t="s">
        <v>707</v>
      </c>
      <c r="P10" s="401" t="s">
        <v>708</v>
      </c>
      <c r="Q10" s="402" t="s">
        <v>707</v>
      </c>
      <c r="R10" s="402" t="s">
        <v>708</v>
      </c>
      <c r="S10" s="401" t="s">
        <v>707</v>
      </c>
      <c r="T10" s="401" t="s">
        <v>708</v>
      </c>
      <c r="U10" s="402" t="s">
        <v>707</v>
      </c>
      <c r="V10" s="402" t="s">
        <v>708</v>
      </c>
      <c r="W10" s="401" t="s">
        <v>707</v>
      </c>
      <c r="X10" s="401" t="s">
        <v>708</v>
      </c>
      <c r="Y10" s="402" t="s">
        <v>707</v>
      </c>
      <c r="Z10" s="402" t="s">
        <v>708</v>
      </c>
      <c r="AA10" s="401" t="s">
        <v>707</v>
      </c>
      <c r="AB10" s="401" t="s">
        <v>708</v>
      </c>
      <c r="AC10" s="402" t="s">
        <v>707</v>
      </c>
      <c r="AD10" s="402" t="s">
        <v>708</v>
      </c>
      <c r="AE10" s="401" t="s">
        <v>707</v>
      </c>
      <c r="AF10" s="401" t="s">
        <v>708</v>
      </c>
      <c r="AG10" s="402" t="s">
        <v>707</v>
      </c>
      <c r="AH10" s="402" t="s">
        <v>708</v>
      </c>
      <c r="AI10" s="401" t="s">
        <v>707</v>
      </c>
      <c r="AJ10" s="401" t="s">
        <v>708</v>
      </c>
      <c r="AK10" s="402" t="s">
        <v>707</v>
      </c>
      <c r="AL10" s="402" t="s">
        <v>708</v>
      </c>
      <c r="AM10" s="401" t="s">
        <v>707</v>
      </c>
      <c r="AN10" s="401" t="s">
        <v>708</v>
      </c>
      <c r="AO10" s="402" t="s">
        <v>707</v>
      </c>
      <c r="AP10" s="402" t="s">
        <v>708</v>
      </c>
      <c r="AQ10" s="401" t="s">
        <v>707</v>
      </c>
      <c r="AR10" s="401" t="s">
        <v>708</v>
      </c>
      <c r="AS10" s="402" t="s">
        <v>707</v>
      </c>
      <c r="AT10" s="402" t="s">
        <v>708</v>
      </c>
      <c r="AU10" s="401" t="s">
        <v>707</v>
      </c>
      <c r="AV10" s="401" t="s">
        <v>708</v>
      </c>
      <c r="AW10" s="402" t="s">
        <v>707</v>
      </c>
      <c r="AX10" s="402" t="s">
        <v>708</v>
      </c>
      <c r="AY10" s="401" t="s">
        <v>707</v>
      </c>
      <c r="AZ10" s="401" t="s">
        <v>708</v>
      </c>
      <c r="BA10" s="402" t="s">
        <v>707</v>
      </c>
      <c r="BB10" s="402" t="s">
        <v>708</v>
      </c>
      <c r="BC10" s="401" t="s">
        <v>707</v>
      </c>
      <c r="BD10" s="401" t="s">
        <v>708</v>
      </c>
      <c r="BE10" s="402" t="s">
        <v>707</v>
      </c>
      <c r="BF10" s="402" t="s">
        <v>708</v>
      </c>
      <c r="BG10" s="401" t="s">
        <v>707</v>
      </c>
      <c r="BH10" s="401" t="s">
        <v>708</v>
      </c>
      <c r="BI10" s="402" t="s">
        <v>707</v>
      </c>
      <c r="BJ10" s="402" t="s">
        <v>708</v>
      </c>
      <c r="BK10" s="401" t="s">
        <v>707</v>
      </c>
      <c r="BL10" s="401" t="s">
        <v>708</v>
      </c>
      <c r="BM10" s="402" t="s">
        <v>707</v>
      </c>
      <c r="BN10" s="402" t="s">
        <v>708</v>
      </c>
      <c r="BO10" s="401" t="s">
        <v>707</v>
      </c>
      <c r="BP10" s="401" t="s">
        <v>708</v>
      </c>
      <c r="BQ10" s="402" t="s">
        <v>707</v>
      </c>
      <c r="BR10" s="402" t="s">
        <v>708</v>
      </c>
      <c r="BS10" s="401" t="s">
        <v>707</v>
      </c>
      <c r="BT10" s="401" t="s">
        <v>708</v>
      </c>
      <c r="BU10" s="402" t="s">
        <v>707</v>
      </c>
      <c r="BV10" s="402" t="s">
        <v>708</v>
      </c>
      <c r="BW10" s="401" t="s">
        <v>707</v>
      </c>
      <c r="BX10" s="401" t="s">
        <v>708</v>
      </c>
      <c r="BY10" s="402" t="s">
        <v>707</v>
      </c>
      <c r="BZ10" s="402" t="s">
        <v>708</v>
      </c>
      <c r="CA10" s="401" t="s">
        <v>707</v>
      </c>
      <c r="CB10" s="401" t="s">
        <v>708</v>
      </c>
      <c r="CC10" s="402" t="s">
        <v>707</v>
      </c>
      <c r="CD10" s="402" t="s">
        <v>708</v>
      </c>
      <c r="CE10" s="401" t="s">
        <v>707</v>
      </c>
      <c r="CF10" s="401" t="s">
        <v>708</v>
      </c>
      <c r="CG10" s="402" t="s">
        <v>707</v>
      </c>
      <c r="CH10" s="402" t="s">
        <v>708</v>
      </c>
      <c r="CI10" s="401" t="s">
        <v>707</v>
      </c>
      <c r="CJ10" s="401" t="s">
        <v>708</v>
      </c>
      <c r="CK10" s="402" t="s">
        <v>707</v>
      </c>
      <c r="CL10" s="402" t="s">
        <v>708</v>
      </c>
      <c r="CM10" s="401" t="s">
        <v>707</v>
      </c>
      <c r="CN10" s="401" t="s">
        <v>708</v>
      </c>
      <c r="CO10" s="402" t="s">
        <v>707</v>
      </c>
      <c r="CP10" s="402" t="s">
        <v>708</v>
      </c>
      <c r="CQ10" s="401" t="s">
        <v>707</v>
      </c>
      <c r="CR10" s="401" t="s">
        <v>708</v>
      </c>
      <c r="CS10" s="402" t="s">
        <v>707</v>
      </c>
      <c r="CT10" s="402" t="s">
        <v>708</v>
      </c>
      <c r="CU10" s="401" t="s">
        <v>707</v>
      </c>
      <c r="CV10" s="401" t="s">
        <v>708</v>
      </c>
      <c r="CW10" s="402" t="s">
        <v>707</v>
      </c>
      <c r="CX10" s="402" t="s">
        <v>708</v>
      </c>
      <c r="CY10" s="401" t="s">
        <v>707</v>
      </c>
      <c r="CZ10" s="401" t="s">
        <v>708</v>
      </c>
      <c r="DA10" s="402" t="s">
        <v>707</v>
      </c>
      <c r="DB10" s="402" t="s">
        <v>708</v>
      </c>
    </row>
    <row r="11" spans="2:106" s="274" customFormat="1" ht="14.25" customHeight="1" x14ac:dyDescent="0.2">
      <c r="B11" s="392"/>
      <c r="C11" s="392"/>
      <c r="D11" s="392"/>
      <c r="E11" s="392"/>
      <c r="F11" s="392"/>
      <c r="G11" s="287"/>
      <c r="H11" s="287"/>
      <c r="I11" s="403"/>
      <c r="J11" s="403"/>
      <c r="K11" s="287"/>
      <c r="L11" s="287"/>
      <c r="M11" s="403"/>
      <c r="N11" s="403"/>
      <c r="O11" s="287"/>
      <c r="P11" s="287"/>
      <c r="Q11" s="403"/>
      <c r="R11" s="403"/>
      <c r="S11" s="287"/>
      <c r="T11" s="287"/>
      <c r="U11" s="403"/>
      <c r="V11" s="403"/>
      <c r="W11" s="287"/>
      <c r="X11" s="287"/>
      <c r="Y11" s="403"/>
      <c r="Z11" s="403"/>
      <c r="AA11" s="287"/>
      <c r="AB11" s="287"/>
      <c r="AC11" s="403"/>
      <c r="AD11" s="403"/>
      <c r="AE11" s="287"/>
      <c r="AF11" s="287"/>
      <c r="AG11" s="403"/>
      <c r="AH11" s="403"/>
      <c r="AI11" s="404"/>
      <c r="AJ11" s="404"/>
      <c r="AK11" s="403"/>
      <c r="AL11" s="403"/>
      <c r="AM11" s="287"/>
      <c r="AN11" s="287"/>
      <c r="AO11" s="403"/>
      <c r="AP11" s="403"/>
      <c r="AQ11" s="287"/>
      <c r="AR11" s="287"/>
      <c r="AS11" s="403"/>
      <c r="AT11" s="403"/>
      <c r="AU11" s="287"/>
      <c r="AV11" s="287"/>
      <c r="AW11" s="403"/>
      <c r="AX11" s="403"/>
      <c r="AY11" s="284"/>
      <c r="AZ11" s="284"/>
      <c r="BA11" s="403"/>
      <c r="BB11" s="403"/>
      <c r="BC11" s="284"/>
      <c r="BD11" s="284"/>
      <c r="BE11" s="403"/>
      <c r="BF11" s="403"/>
      <c r="BG11" s="284"/>
      <c r="BH11" s="284"/>
      <c r="BI11" s="403"/>
      <c r="BJ11" s="403"/>
      <c r="BK11" s="284"/>
      <c r="BL11" s="284"/>
      <c r="BM11" s="403"/>
      <c r="BN11" s="403"/>
      <c r="BO11" s="284"/>
      <c r="BP11" s="284"/>
      <c r="BQ11" s="403"/>
      <c r="BR11" s="403"/>
      <c r="BS11" s="284"/>
      <c r="BT11" s="284"/>
      <c r="BU11" s="403"/>
      <c r="BV11" s="403"/>
      <c r="BW11" s="284"/>
      <c r="BX11" s="284"/>
      <c r="BY11" s="403"/>
      <c r="BZ11" s="403"/>
      <c r="CA11" s="284"/>
      <c r="CB11" s="284"/>
      <c r="CC11" s="403"/>
      <c r="CD11" s="403"/>
      <c r="CE11" s="284"/>
      <c r="CF11" s="284"/>
      <c r="CG11" s="403"/>
      <c r="CH11" s="403"/>
      <c r="CI11" s="284"/>
      <c r="CJ11" s="284"/>
      <c r="CK11" s="403"/>
      <c r="CL11" s="403"/>
      <c r="CM11" s="284"/>
      <c r="CN11" s="284"/>
      <c r="CO11" s="403"/>
      <c r="CP11" s="403"/>
      <c r="CQ11" s="284"/>
      <c r="CR11" s="284"/>
      <c r="CS11" s="403"/>
      <c r="CT11" s="403"/>
      <c r="CU11" s="284"/>
      <c r="CV11" s="284"/>
      <c r="CW11" s="403"/>
      <c r="CX11" s="403"/>
      <c r="CY11" s="284"/>
      <c r="CZ11" s="284"/>
      <c r="DA11" s="403"/>
      <c r="DB11" s="403"/>
    </row>
    <row r="12" spans="2:106" s="274" customFormat="1" ht="14.25" customHeight="1" x14ac:dyDescent="0.2">
      <c r="B12" s="405" t="s">
        <v>578</v>
      </c>
      <c r="C12" s="287"/>
      <c r="D12" s="287"/>
      <c r="E12" s="405"/>
      <c r="F12" s="405"/>
      <c r="G12" s="298">
        <v>475.08803994648821</v>
      </c>
      <c r="H12" s="298">
        <v>8086.6680414302391</v>
      </c>
      <c r="I12" s="299">
        <v>540.16136972032893</v>
      </c>
      <c r="J12" s="299">
        <v>8959.4722781090786</v>
      </c>
      <c r="K12" s="298">
        <v>557.0213688304558</v>
      </c>
      <c r="L12" s="298">
        <v>9036.0250453290537</v>
      </c>
      <c r="M12" s="299">
        <v>574.08970127391603</v>
      </c>
      <c r="N12" s="299">
        <v>9249.0222895982006</v>
      </c>
      <c r="O12" s="298">
        <v>590.71636705070955</v>
      </c>
      <c r="P12" s="298">
        <v>9994.1185248773108</v>
      </c>
      <c r="Q12" s="299">
        <v>606.98469949416972</v>
      </c>
      <c r="R12" s="299">
        <v>10571.849322932003</v>
      </c>
      <c r="S12" s="298">
        <v>620.2308599422563</v>
      </c>
      <c r="T12" s="298">
        <v>10121.610335664354</v>
      </c>
      <c r="U12" s="299">
        <v>633.47769105589578</v>
      </c>
      <c r="V12" s="299">
        <v>9976.4392487773548</v>
      </c>
      <c r="W12" s="298">
        <v>646.72452216953525</v>
      </c>
      <c r="X12" s="298">
        <v>9920.5899828406455</v>
      </c>
      <c r="Y12" s="299">
        <v>816.58211919758708</v>
      </c>
      <c r="Z12" s="299">
        <v>10021.513933510927</v>
      </c>
      <c r="AA12" s="298">
        <v>896.5716112759269</v>
      </c>
      <c r="AB12" s="298">
        <v>9776.3775564879215</v>
      </c>
      <c r="AC12" s="299">
        <v>976.47646598139784</v>
      </c>
      <c r="AD12" s="299">
        <v>10016.161856704315</v>
      </c>
      <c r="AE12" s="298">
        <v>1056.3813206868688</v>
      </c>
      <c r="AF12" s="298">
        <v>9882.7947891074546</v>
      </c>
      <c r="AG12" s="299">
        <v>1219.0981753923397</v>
      </c>
      <c r="AH12" s="299">
        <v>9844.6237178861975</v>
      </c>
      <c r="AI12" s="300">
        <v>1330.6053507532386</v>
      </c>
      <c r="AJ12" s="300">
        <v>9636.4865252077998</v>
      </c>
      <c r="AK12" s="299">
        <v>1345.3055333076047</v>
      </c>
      <c r="AL12" s="299">
        <v>10186.908576605709</v>
      </c>
      <c r="AM12" s="298">
        <v>1360.0057158619709</v>
      </c>
      <c r="AN12" s="298">
        <v>9982.079193761776</v>
      </c>
      <c r="AO12" s="299">
        <v>1374.705898416337</v>
      </c>
      <c r="AP12" s="299">
        <v>10754.898286426826</v>
      </c>
      <c r="AQ12" s="298">
        <v>1389.1966367978612</v>
      </c>
      <c r="AR12" s="298">
        <v>11374.08940074436</v>
      </c>
      <c r="AS12" s="299">
        <v>1403.6873751793853</v>
      </c>
      <c r="AT12" s="299">
        <v>12593.700163542439</v>
      </c>
      <c r="AU12" s="298">
        <v>1418.1781135609097</v>
      </c>
      <c r="AV12" s="298">
        <v>12473.779368640622</v>
      </c>
      <c r="AW12" s="299">
        <v>1432.6688519424338</v>
      </c>
      <c r="AX12" s="299">
        <v>12575.237573266606</v>
      </c>
      <c r="AY12" s="298">
        <v>1448.8370478795309</v>
      </c>
      <c r="AZ12" s="298">
        <v>12479.14597092803</v>
      </c>
      <c r="BA12" s="299">
        <v>1465.0052438166283</v>
      </c>
      <c r="BB12" s="299">
        <v>12562.725754003</v>
      </c>
      <c r="BC12" s="298">
        <v>1481.1734397537257</v>
      </c>
      <c r="BD12" s="298">
        <v>12635.474666455315</v>
      </c>
      <c r="BE12" s="299">
        <v>1497.3416356908228</v>
      </c>
      <c r="BF12" s="299">
        <v>13065.414116474849</v>
      </c>
      <c r="BG12" s="298">
        <v>1500.1673316279202</v>
      </c>
      <c r="BH12" s="298">
        <v>12231.280592824716</v>
      </c>
      <c r="BI12" s="299">
        <v>1502.9930275650177</v>
      </c>
      <c r="BJ12" s="299">
        <v>12624.605269732871</v>
      </c>
      <c r="BK12" s="298">
        <v>1505.8187235021148</v>
      </c>
      <c r="BL12" s="298">
        <v>13070.227366183442</v>
      </c>
      <c r="BM12" s="299">
        <v>1508.6444194392122</v>
      </c>
      <c r="BN12" s="299">
        <v>13655.105820564488</v>
      </c>
      <c r="BO12" s="298">
        <v>1511.9945982602803</v>
      </c>
      <c r="BP12" s="298">
        <v>13408.466064162523</v>
      </c>
      <c r="BQ12" s="299">
        <v>1515.3447770813484</v>
      </c>
      <c r="BR12" s="299">
        <v>13526.912795005872</v>
      </c>
      <c r="BS12" s="298">
        <v>1518.6949559024165</v>
      </c>
      <c r="BT12" s="298">
        <v>14773.400089443288</v>
      </c>
      <c r="BU12" s="299">
        <v>1522.0451347234846</v>
      </c>
      <c r="BV12" s="299">
        <v>16384.065053238308</v>
      </c>
      <c r="BW12" s="298">
        <v>1524.9685330362508</v>
      </c>
      <c r="BX12" s="298">
        <v>13510.307097012008</v>
      </c>
      <c r="BY12" s="299">
        <v>1527.8919313490171</v>
      </c>
      <c r="BZ12" s="299">
        <v>13071.628897895393</v>
      </c>
      <c r="CA12" s="298">
        <v>1530.8153296617834</v>
      </c>
      <c r="CB12" s="298">
        <v>13976.367875689808</v>
      </c>
      <c r="CC12" s="299">
        <v>1533.7387279745496</v>
      </c>
      <c r="CD12" s="299">
        <v>14047.023974009619</v>
      </c>
      <c r="CE12" s="298">
        <v>1543.0550490620501</v>
      </c>
      <c r="CF12" s="298">
        <v>14330.181589219068</v>
      </c>
      <c r="CG12" s="299">
        <v>1555.5706874395501</v>
      </c>
      <c r="CH12" s="299">
        <v>14562.157309437931</v>
      </c>
      <c r="CI12" s="298">
        <v>1565.80298042705</v>
      </c>
      <c r="CJ12" s="298">
        <v>14708.294138096884</v>
      </c>
      <c r="CK12" s="299">
        <v>1588.6702367645501</v>
      </c>
      <c r="CL12" s="299">
        <v>14832.894042786889</v>
      </c>
      <c r="CM12" s="298">
        <v>1612.534638372613</v>
      </c>
      <c r="CN12" s="298">
        <v>15336.297531491415</v>
      </c>
      <c r="CO12" s="299">
        <v>1648.1175874640637</v>
      </c>
      <c r="CP12" s="299">
        <v>15824.717853375638</v>
      </c>
      <c r="CQ12" s="298">
        <v>1679.8164977635627</v>
      </c>
      <c r="CR12" s="298">
        <v>15994.255258239011</v>
      </c>
      <c r="CS12" s="299">
        <v>1698.9207442014194</v>
      </c>
      <c r="CT12" s="299">
        <v>16598.01179644392</v>
      </c>
      <c r="CU12" s="298">
        <v>1716.0703856857119</v>
      </c>
      <c r="CV12" s="298">
        <v>16668.346563026305</v>
      </c>
      <c r="CW12" s="299">
        <v>1740.3526475229189</v>
      </c>
      <c r="CX12" s="299">
        <v>17115.973664205168</v>
      </c>
      <c r="CY12" s="298">
        <v>1761.1714534841508</v>
      </c>
      <c r="CZ12" s="298">
        <v>17668.15013305673</v>
      </c>
      <c r="DA12" s="299">
        <v>1797.1308779661686</v>
      </c>
      <c r="DB12" s="299">
        <v>18228.246063288469</v>
      </c>
    </row>
    <row r="13" spans="2:106" ht="14.25" customHeight="1" x14ac:dyDescent="0.25">
      <c r="B13" s="406" t="s">
        <v>709</v>
      </c>
      <c r="C13" s="393"/>
      <c r="D13" s="393"/>
      <c r="E13" s="406"/>
      <c r="F13" s="406"/>
      <c r="G13" s="303">
        <v>471.80012596053564</v>
      </c>
      <c r="H13" s="303">
        <v>6311.0400262920311</v>
      </c>
      <c r="I13" s="304">
        <v>536.87345573437631</v>
      </c>
      <c r="J13" s="304">
        <v>6859.2658925555133</v>
      </c>
      <c r="K13" s="303">
        <v>553.73345484450317</v>
      </c>
      <c r="L13" s="303">
        <v>6876.5762327754892</v>
      </c>
      <c r="M13" s="304">
        <v>570.80178728796341</v>
      </c>
      <c r="N13" s="304">
        <v>7022.4934770446353</v>
      </c>
      <c r="O13" s="303">
        <v>587.42845306475692</v>
      </c>
      <c r="P13" s="303">
        <v>7625.042712323745</v>
      </c>
      <c r="Q13" s="304">
        <v>603.69678550821709</v>
      </c>
      <c r="R13" s="304">
        <v>8027.8370909244986</v>
      </c>
      <c r="S13" s="303">
        <v>617.2308599422563</v>
      </c>
      <c r="T13" s="303">
        <v>7625.6531333537323</v>
      </c>
      <c r="U13" s="304">
        <v>630.47769105589578</v>
      </c>
      <c r="V13" s="304">
        <v>7432.8614798222807</v>
      </c>
      <c r="W13" s="303">
        <v>643.72452216953525</v>
      </c>
      <c r="X13" s="303">
        <v>7347.1382638855712</v>
      </c>
      <c r="Y13" s="304">
        <v>813.58211919758708</v>
      </c>
      <c r="Z13" s="304">
        <v>7408.3750991666229</v>
      </c>
      <c r="AA13" s="303">
        <v>893.03337838145683</v>
      </c>
      <c r="AB13" s="303">
        <v>7116.9716390519607</v>
      </c>
      <c r="AC13" s="304">
        <v>972.4000001924577</v>
      </c>
      <c r="AD13" s="304">
        <v>7326.7446670062845</v>
      </c>
      <c r="AE13" s="303">
        <v>1051.7666220034587</v>
      </c>
      <c r="AF13" s="303">
        <v>7159.087801147356</v>
      </c>
      <c r="AG13" s="304">
        <v>1213.9452438144594</v>
      </c>
      <c r="AH13" s="304">
        <v>7020.1046595208063</v>
      </c>
      <c r="AI13" s="305">
        <v>1324.4524191753583</v>
      </c>
      <c r="AJ13" s="305">
        <v>7074.652819061972</v>
      </c>
      <c r="AK13" s="304">
        <v>1338.1526017297244</v>
      </c>
      <c r="AL13" s="304">
        <v>7429.6978435894007</v>
      </c>
      <c r="AM13" s="303">
        <v>1351.8527842840906</v>
      </c>
      <c r="AN13" s="303">
        <v>7170.705629942614</v>
      </c>
      <c r="AO13" s="304">
        <v>1365.5529668384568</v>
      </c>
      <c r="AP13" s="304">
        <v>7423.1253775927171</v>
      </c>
      <c r="AQ13" s="303">
        <v>1377.6187052199809</v>
      </c>
      <c r="AR13" s="303">
        <v>7822.069143910252</v>
      </c>
      <c r="AS13" s="304">
        <v>1389.6844436015051</v>
      </c>
      <c r="AT13" s="304">
        <v>8190.3758467083335</v>
      </c>
      <c r="AU13" s="303">
        <v>1401.7501819830293</v>
      </c>
      <c r="AV13" s="303">
        <v>8004.1109458065157</v>
      </c>
      <c r="AW13" s="304">
        <v>1413.8159203645534</v>
      </c>
      <c r="AX13" s="304">
        <v>8165.6182714800352</v>
      </c>
      <c r="AY13" s="303">
        <v>1426.8403416741507</v>
      </c>
      <c r="AZ13" s="303">
        <v>7975.8804183401426</v>
      </c>
      <c r="BA13" s="304">
        <v>1439.8647629837481</v>
      </c>
      <c r="BB13" s="304">
        <v>7946.3531747351763</v>
      </c>
      <c r="BC13" s="303">
        <v>1452.8891842933454</v>
      </c>
      <c r="BD13" s="303">
        <v>7965.4875501487404</v>
      </c>
      <c r="BE13" s="304">
        <v>1465.9136056029427</v>
      </c>
      <c r="BF13" s="304">
        <v>8287.0363350251901</v>
      </c>
      <c r="BG13" s="303">
        <v>1467.68802691254</v>
      </c>
      <c r="BH13" s="303">
        <v>7394.1171611939772</v>
      </c>
      <c r="BI13" s="304">
        <v>1469.4624482221373</v>
      </c>
      <c r="BJ13" s="304">
        <v>7722.2998381021316</v>
      </c>
      <c r="BK13" s="303">
        <v>1471.2368695317346</v>
      </c>
      <c r="BL13" s="303">
        <v>8122.8159345527029</v>
      </c>
      <c r="BM13" s="304">
        <v>1473.0112908413319</v>
      </c>
      <c r="BN13" s="304">
        <v>8665.4443889337472</v>
      </c>
      <c r="BO13" s="303">
        <v>1475.1601950349</v>
      </c>
      <c r="BP13" s="303">
        <v>8355.1496325317839</v>
      </c>
      <c r="BQ13" s="304">
        <v>1477.3090992284681</v>
      </c>
      <c r="BR13" s="304">
        <v>8430.4973633751342</v>
      </c>
      <c r="BS13" s="303">
        <v>1479.4580034220362</v>
      </c>
      <c r="BT13" s="303">
        <v>9578.4546578125501</v>
      </c>
      <c r="BU13" s="304">
        <v>1481.6069076156043</v>
      </c>
      <c r="BV13" s="304">
        <v>11049.966621607577</v>
      </c>
      <c r="BW13" s="303">
        <v>1483.3790313008706</v>
      </c>
      <c r="BX13" s="303">
        <v>8028.5756653812741</v>
      </c>
      <c r="BY13" s="304">
        <v>1485.1511549861368</v>
      </c>
      <c r="BZ13" s="304">
        <v>7452.4474662646599</v>
      </c>
      <c r="CA13" s="303">
        <v>1486.9232786714031</v>
      </c>
      <c r="CB13" s="303">
        <v>8173.7116743778452</v>
      </c>
      <c r="CC13" s="304">
        <v>1488.6954023566693</v>
      </c>
      <c r="CD13" s="304">
        <v>8103.2841435895371</v>
      </c>
      <c r="CE13" s="303">
        <v>1496.8604488166698</v>
      </c>
      <c r="CF13" s="303">
        <v>8302.4097587989872</v>
      </c>
      <c r="CG13" s="304">
        <v>1508.2248125666697</v>
      </c>
      <c r="CH13" s="304">
        <v>8471.2574790178514</v>
      </c>
      <c r="CI13" s="303">
        <v>1517.3058309266696</v>
      </c>
      <c r="CJ13" s="303">
        <v>8550.390307676802</v>
      </c>
      <c r="CK13" s="304">
        <v>1539.0218126366697</v>
      </c>
      <c r="CL13" s="304">
        <v>8668.4114494118094</v>
      </c>
      <c r="CM13" s="303">
        <v>1561.8349396172327</v>
      </c>
      <c r="CN13" s="303">
        <v>9072.429410689012</v>
      </c>
      <c r="CO13" s="304">
        <v>1596.3666140811833</v>
      </c>
      <c r="CP13" s="304">
        <v>9502.6565325732354</v>
      </c>
      <c r="CQ13" s="303">
        <v>1627.0142497531824</v>
      </c>
      <c r="CR13" s="303">
        <v>9662.4593374366086</v>
      </c>
      <c r="CS13" s="304">
        <v>1645.0672215635391</v>
      </c>
      <c r="CT13" s="304">
        <v>10128.23427564152</v>
      </c>
      <c r="CU13" s="303">
        <v>1661.1655884203317</v>
      </c>
      <c r="CV13" s="303">
        <v>10167.169769651227</v>
      </c>
      <c r="CW13" s="304">
        <v>1684.3965756300386</v>
      </c>
      <c r="CX13" s="304">
        <v>10493.08377083009</v>
      </c>
      <c r="CY13" s="303">
        <v>1704.1641069637706</v>
      </c>
      <c r="CZ13" s="303">
        <v>10904.888839681649</v>
      </c>
      <c r="DA13" s="304">
        <v>1739.0722568182882</v>
      </c>
      <c r="DB13" s="304">
        <v>11066.132769913389</v>
      </c>
    </row>
    <row r="14" spans="2:106" ht="14.25" customHeight="1" x14ac:dyDescent="0.25">
      <c r="B14" s="406" t="s">
        <v>710</v>
      </c>
      <c r="C14" s="393"/>
      <c r="D14" s="393"/>
      <c r="E14" s="406"/>
      <c r="F14" s="406"/>
      <c r="G14" s="303">
        <v>3.2879139859525899</v>
      </c>
      <c r="H14" s="303">
        <v>1775.6280151382052</v>
      </c>
      <c r="I14" s="304">
        <v>3.2879139859525899</v>
      </c>
      <c r="J14" s="304">
        <v>2100.2063855535644</v>
      </c>
      <c r="K14" s="303">
        <v>3.2879139859525899</v>
      </c>
      <c r="L14" s="303">
        <v>2159.4488125535645</v>
      </c>
      <c r="M14" s="304">
        <v>3.2879139859525899</v>
      </c>
      <c r="N14" s="304">
        <v>2226.5288125535649</v>
      </c>
      <c r="O14" s="303">
        <v>3.2879139859525899</v>
      </c>
      <c r="P14" s="303">
        <v>2369.0758125535658</v>
      </c>
      <c r="Q14" s="304">
        <v>3.2879139859525899</v>
      </c>
      <c r="R14" s="304">
        <v>2544.0122320075047</v>
      </c>
      <c r="S14" s="303">
        <v>3</v>
      </c>
      <c r="T14" s="303">
        <v>2495.957202310623</v>
      </c>
      <c r="U14" s="304">
        <v>3</v>
      </c>
      <c r="V14" s="304">
        <v>2543.5777689550741</v>
      </c>
      <c r="W14" s="303">
        <v>3</v>
      </c>
      <c r="X14" s="303">
        <v>2573.4517189550743</v>
      </c>
      <c r="Y14" s="304">
        <v>3</v>
      </c>
      <c r="Z14" s="304">
        <v>2613.1388343443036</v>
      </c>
      <c r="AA14" s="303">
        <v>3.5382328944700694</v>
      </c>
      <c r="AB14" s="303">
        <v>2659.4059174359613</v>
      </c>
      <c r="AC14" s="304">
        <v>4.0764657889401388</v>
      </c>
      <c r="AD14" s="304">
        <v>2689.4171896980301</v>
      </c>
      <c r="AE14" s="303">
        <v>4.6146986834102082</v>
      </c>
      <c r="AF14" s="303">
        <v>2723.7069879600986</v>
      </c>
      <c r="AG14" s="304">
        <v>5.1529315778802776</v>
      </c>
      <c r="AH14" s="304">
        <v>2824.5190583653907</v>
      </c>
      <c r="AI14" s="305">
        <v>6.1529315778802776</v>
      </c>
      <c r="AJ14" s="305">
        <v>2561.8337061458278</v>
      </c>
      <c r="AK14" s="304">
        <v>7.1529315778802776</v>
      </c>
      <c r="AL14" s="304">
        <v>2757.2107330163076</v>
      </c>
      <c r="AM14" s="303">
        <v>8.1529315778802776</v>
      </c>
      <c r="AN14" s="303">
        <v>2811.3735638191615</v>
      </c>
      <c r="AO14" s="304">
        <v>9.1529315778802776</v>
      </c>
      <c r="AP14" s="304">
        <v>3331.7729088341075</v>
      </c>
      <c r="AQ14" s="303">
        <v>11.577931577880278</v>
      </c>
      <c r="AR14" s="303">
        <v>3552.0202568341074</v>
      </c>
      <c r="AS14" s="304">
        <v>14.002931577880279</v>
      </c>
      <c r="AT14" s="304">
        <v>4403.3243168341041</v>
      </c>
      <c r="AU14" s="303">
        <v>16.42793157788028</v>
      </c>
      <c r="AV14" s="303">
        <v>4469.6684228341055</v>
      </c>
      <c r="AW14" s="304">
        <v>18.85293157788028</v>
      </c>
      <c r="AX14" s="304">
        <v>4409.6193017865708</v>
      </c>
      <c r="AY14" s="303">
        <v>21.996706205380281</v>
      </c>
      <c r="AZ14" s="303">
        <v>4503.2655525878872</v>
      </c>
      <c r="BA14" s="304">
        <v>25.140480832880282</v>
      </c>
      <c r="BB14" s="304">
        <v>4616.3725792678233</v>
      </c>
      <c r="BC14" s="303">
        <v>28.284255460380283</v>
      </c>
      <c r="BD14" s="303">
        <v>4669.9871163065745</v>
      </c>
      <c r="BE14" s="304">
        <v>31.428030087880284</v>
      </c>
      <c r="BF14" s="304">
        <v>4778.3777814496589</v>
      </c>
      <c r="BG14" s="303">
        <v>32.479304715380287</v>
      </c>
      <c r="BH14" s="303">
        <v>4837.1634316307391</v>
      </c>
      <c r="BI14" s="304">
        <v>33.530579342880287</v>
      </c>
      <c r="BJ14" s="304">
        <v>4902.3054316307398</v>
      </c>
      <c r="BK14" s="303">
        <v>34.581853970380287</v>
      </c>
      <c r="BL14" s="303">
        <v>4947.4114316307396</v>
      </c>
      <c r="BM14" s="304">
        <v>35.633128597880287</v>
      </c>
      <c r="BN14" s="304">
        <v>4989.6614316307396</v>
      </c>
      <c r="BO14" s="303">
        <v>36.834403225380285</v>
      </c>
      <c r="BP14" s="303">
        <v>5053.3164316307384</v>
      </c>
      <c r="BQ14" s="304">
        <v>38.035677852880283</v>
      </c>
      <c r="BR14" s="304">
        <v>5096.4154316307386</v>
      </c>
      <c r="BS14" s="303">
        <v>39.236952480380282</v>
      </c>
      <c r="BT14" s="303">
        <v>5194.9454316307383</v>
      </c>
      <c r="BU14" s="304">
        <v>40.43822710788028</v>
      </c>
      <c r="BV14" s="304">
        <v>5334.0984316307331</v>
      </c>
      <c r="BW14" s="303">
        <v>41.589501735380281</v>
      </c>
      <c r="BX14" s="303">
        <v>5481.7314316307338</v>
      </c>
      <c r="BY14" s="304">
        <v>42.740776362880283</v>
      </c>
      <c r="BZ14" s="304">
        <v>5619.1814316307336</v>
      </c>
      <c r="CA14" s="303">
        <v>43.892050990380284</v>
      </c>
      <c r="CB14" s="303">
        <v>5802.6562013119628</v>
      </c>
      <c r="CC14" s="304">
        <v>45.043325617880285</v>
      </c>
      <c r="CD14" s="304">
        <v>5943.7398304200806</v>
      </c>
      <c r="CE14" s="303">
        <v>46.194600245380286</v>
      </c>
      <c r="CF14" s="303">
        <v>6027.7718304200807</v>
      </c>
      <c r="CG14" s="304">
        <v>47.345874872880287</v>
      </c>
      <c r="CH14" s="304">
        <v>6090.8998304200795</v>
      </c>
      <c r="CI14" s="303">
        <v>48.497149500380289</v>
      </c>
      <c r="CJ14" s="303">
        <v>6157.9038304200822</v>
      </c>
      <c r="CK14" s="304">
        <v>49.64842412788029</v>
      </c>
      <c r="CL14" s="304">
        <v>6164.4825933750799</v>
      </c>
      <c r="CM14" s="303">
        <v>50.69969875538029</v>
      </c>
      <c r="CN14" s="303">
        <v>6263.8681208024027</v>
      </c>
      <c r="CO14" s="304">
        <v>51.750973382880289</v>
      </c>
      <c r="CP14" s="304">
        <v>6322.0613208024024</v>
      </c>
      <c r="CQ14" s="303">
        <v>52.802248010380289</v>
      </c>
      <c r="CR14" s="303">
        <v>6331.7959208024022</v>
      </c>
      <c r="CS14" s="304">
        <v>53.853522637880289</v>
      </c>
      <c r="CT14" s="304">
        <v>6469.7775208023977</v>
      </c>
      <c r="CU14" s="303">
        <v>54.904797265380289</v>
      </c>
      <c r="CV14" s="303">
        <v>6501.1767933750789</v>
      </c>
      <c r="CW14" s="304">
        <v>55.956071892880288</v>
      </c>
      <c r="CX14" s="304">
        <v>6622.8898933750797</v>
      </c>
      <c r="CY14" s="303">
        <v>57.007346520380288</v>
      </c>
      <c r="CZ14" s="303">
        <v>6763.2612933750797</v>
      </c>
      <c r="DA14" s="304">
        <v>58.058621147880288</v>
      </c>
      <c r="DB14" s="304">
        <v>7162.1132933750787</v>
      </c>
    </row>
    <row r="15" spans="2:106" ht="14.25" customHeight="1" x14ac:dyDescent="0.25">
      <c r="B15" s="393"/>
      <c r="C15" s="393"/>
      <c r="D15" s="393"/>
      <c r="E15" s="393"/>
      <c r="F15" s="393"/>
      <c r="G15" s="407"/>
      <c r="H15" s="407"/>
      <c r="I15" s="408"/>
      <c r="J15" s="408"/>
      <c r="K15" s="407"/>
      <c r="L15" s="407"/>
      <c r="M15" s="408"/>
      <c r="N15" s="408"/>
      <c r="O15" s="407"/>
      <c r="P15" s="407"/>
      <c r="Q15" s="408"/>
      <c r="R15" s="408"/>
      <c r="S15" s="407"/>
      <c r="T15" s="407"/>
      <c r="U15" s="408"/>
      <c r="V15" s="408"/>
      <c r="W15" s="407"/>
      <c r="X15" s="407"/>
      <c r="Y15" s="408"/>
      <c r="Z15" s="408"/>
      <c r="AA15" s="407"/>
      <c r="AB15" s="407"/>
      <c r="AC15" s="408"/>
      <c r="AD15" s="408"/>
      <c r="AE15" s="407"/>
      <c r="AF15" s="407"/>
      <c r="AG15" s="408"/>
      <c r="AH15" s="408"/>
      <c r="AI15" s="409"/>
      <c r="AJ15" s="409"/>
      <c r="AK15" s="408"/>
      <c r="AL15" s="408"/>
      <c r="AM15" s="407"/>
      <c r="AN15" s="407"/>
      <c r="AO15" s="408"/>
      <c r="AP15" s="408"/>
      <c r="AQ15" s="407"/>
      <c r="AR15" s="407"/>
      <c r="AS15" s="408"/>
      <c r="AT15" s="408"/>
      <c r="AU15" s="407"/>
      <c r="AV15" s="407"/>
      <c r="AW15" s="408"/>
      <c r="AX15" s="408"/>
      <c r="AY15" s="407"/>
      <c r="AZ15" s="407"/>
      <c r="BA15" s="408"/>
      <c r="BB15" s="408"/>
      <c r="BC15" s="407"/>
      <c r="BD15" s="407"/>
      <c r="BE15" s="408"/>
      <c r="BF15" s="408"/>
      <c r="BG15" s="407"/>
      <c r="BH15" s="407"/>
      <c r="BI15" s="408"/>
      <c r="BJ15" s="408"/>
      <c r="BK15" s="407"/>
      <c r="BL15" s="407"/>
      <c r="BM15" s="408"/>
      <c r="BN15" s="408"/>
      <c r="BO15" s="407"/>
      <c r="BP15" s="407"/>
      <c r="BQ15" s="408"/>
      <c r="BR15" s="408"/>
      <c r="BS15" s="407"/>
      <c r="BT15" s="407"/>
      <c r="BU15" s="408"/>
      <c r="BV15" s="408"/>
      <c r="BW15" s="407"/>
      <c r="BX15" s="407"/>
      <c r="BY15" s="408"/>
      <c r="BZ15" s="408"/>
      <c r="CA15" s="407"/>
      <c r="CB15" s="407"/>
      <c r="CC15" s="408"/>
      <c r="CD15" s="408"/>
      <c r="CE15" s="407"/>
      <c r="CF15" s="407"/>
      <c r="CG15" s="408"/>
      <c r="CH15" s="408"/>
      <c r="CI15" s="407"/>
      <c r="CJ15" s="407"/>
      <c r="CK15" s="408"/>
      <c r="CL15" s="408"/>
      <c r="CM15" s="407"/>
      <c r="CN15" s="407"/>
      <c r="CO15" s="408"/>
      <c r="CP15" s="408"/>
      <c r="CQ15" s="407"/>
      <c r="CR15" s="407"/>
      <c r="CS15" s="408"/>
      <c r="CT15" s="408"/>
      <c r="CU15" s="407"/>
      <c r="CV15" s="407"/>
      <c r="CW15" s="408"/>
      <c r="CX15" s="408"/>
      <c r="CY15" s="407"/>
      <c r="CZ15" s="407"/>
      <c r="DA15" s="408"/>
      <c r="DB15" s="408"/>
    </row>
    <row r="16" spans="2:106" ht="14.25" customHeight="1" x14ac:dyDescent="0.25">
      <c r="B16" s="405" t="s">
        <v>524</v>
      </c>
      <c r="C16" s="393"/>
      <c r="D16" s="393"/>
      <c r="E16" s="405"/>
      <c r="F16" s="405"/>
      <c r="G16" s="298">
        <v>0.29883519921233592</v>
      </c>
      <c r="H16" s="298">
        <v>9242.362169579852</v>
      </c>
      <c r="I16" s="299">
        <v>0.31108428869700888</v>
      </c>
      <c r="J16" s="299">
        <v>9473.2177336901168</v>
      </c>
      <c r="K16" s="298">
        <v>0.31121293944905271</v>
      </c>
      <c r="L16" s="298">
        <v>10820.193973654799</v>
      </c>
      <c r="M16" s="299">
        <v>0.31120008319148318</v>
      </c>
      <c r="N16" s="299">
        <v>12124.631056988181</v>
      </c>
      <c r="O16" s="298">
        <v>0.31265931685570453</v>
      </c>
      <c r="P16" s="298">
        <v>12504.944555025884</v>
      </c>
      <c r="Q16" s="299">
        <v>9.0854530304024614E-2</v>
      </c>
      <c r="R16" s="299">
        <v>12664.249629184993</v>
      </c>
      <c r="S16" s="298">
        <v>9.3957674943566577E-2</v>
      </c>
      <c r="T16" s="298">
        <v>11771.685330998993</v>
      </c>
      <c r="U16" s="299">
        <v>9.764348541510845E-2</v>
      </c>
      <c r="V16" s="299">
        <v>12630.692712671444</v>
      </c>
      <c r="W16" s="298">
        <v>0.10916913480158745</v>
      </c>
      <c r="X16" s="298">
        <v>11492.039217625304</v>
      </c>
      <c r="Y16" s="299">
        <v>0.11353804569273156</v>
      </c>
      <c r="Z16" s="299">
        <v>12331.267408364623</v>
      </c>
      <c r="AA16" s="298">
        <v>0.10253871438498957</v>
      </c>
      <c r="AB16" s="298">
        <v>11536.093625728823</v>
      </c>
      <c r="AC16" s="299">
        <v>0.10024280895008607</v>
      </c>
      <c r="AD16" s="299">
        <v>11700.566111839325</v>
      </c>
      <c r="AE16" s="298">
        <v>0.10029639545019897</v>
      </c>
      <c r="AF16" s="298">
        <v>14460.426595601784</v>
      </c>
      <c r="AG16" s="299">
        <v>0.10852194259012014</v>
      </c>
      <c r="AH16" s="299">
        <v>13683.885599382289</v>
      </c>
      <c r="AI16" s="300">
        <v>0.1112175405343776</v>
      </c>
      <c r="AJ16" s="300">
        <v>13461.423153920648</v>
      </c>
      <c r="AK16" s="299">
        <v>0.11325922741189501</v>
      </c>
      <c r="AL16" s="299">
        <v>15018.476873985604</v>
      </c>
      <c r="AM16" s="298">
        <v>0.11262541778713415</v>
      </c>
      <c r="AN16" s="298">
        <v>15714.086829583972</v>
      </c>
      <c r="AO16" s="299">
        <v>2.766714555251127E-2</v>
      </c>
      <c r="AP16" s="299">
        <v>15620.155281553882</v>
      </c>
      <c r="AQ16" s="298">
        <v>2.7497270352145411E-2</v>
      </c>
      <c r="AR16" s="298">
        <v>15492.437000615482</v>
      </c>
      <c r="AS16" s="299">
        <v>6.8131335821692451E-2</v>
      </c>
      <c r="AT16" s="299">
        <v>16461.697467395268</v>
      </c>
      <c r="AU16" s="298">
        <v>6.8145366622094403E-2</v>
      </c>
      <c r="AV16" s="298">
        <v>15326.214083882065</v>
      </c>
      <c r="AW16" s="299">
        <v>6.8175008577296081E-2</v>
      </c>
      <c r="AX16" s="299">
        <v>13616.797896598555</v>
      </c>
      <c r="AY16" s="410">
        <v>6.7845279055243291E-2</v>
      </c>
      <c r="AZ16" s="298">
        <v>15896.606826936772</v>
      </c>
      <c r="BA16" s="411">
        <v>6.8072525353682745E-2</v>
      </c>
      <c r="BB16" s="299">
        <v>17070.841094480384</v>
      </c>
      <c r="BC16" s="410">
        <v>6.8163974380961181E-2</v>
      </c>
      <c r="BD16" s="298">
        <v>16929.973426114557</v>
      </c>
      <c r="BE16" s="411">
        <v>6.8014953147538457E-2</v>
      </c>
      <c r="BF16" s="299">
        <v>15855.026837806647</v>
      </c>
      <c r="BG16" s="410">
        <v>6.8770832493919104E-2</v>
      </c>
      <c r="BH16" s="298">
        <v>9284.7674089117245</v>
      </c>
      <c r="BI16" s="411">
        <v>6.8098703103487535E-2</v>
      </c>
      <c r="BJ16" s="299">
        <v>10709.553281780347</v>
      </c>
      <c r="BK16" s="410">
        <v>6.7887608181006712E-2</v>
      </c>
      <c r="BL16" s="298">
        <v>10890.105477231977</v>
      </c>
      <c r="BM16" s="411">
        <v>6.8541748699896252E-2</v>
      </c>
      <c r="BN16" s="299">
        <v>8579.2971492492088</v>
      </c>
      <c r="BO16" s="410">
        <v>6.8672271634971666E-2</v>
      </c>
      <c r="BP16" s="298">
        <v>9010.0327771320844</v>
      </c>
      <c r="BQ16" s="411">
        <v>6.7696090397592501E-2</v>
      </c>
      <c r="BR16" s="299">
        <v>9533.7331086059385</v>
      </c>
      <c r="BS16" s="410">
        <v>6.8127171092733127E-2</v>
      </c>
      <c r="BT16" s="298">
        <v>8398.5267464410226</v>
      </c>
      <c r="BU16" s="411">
        <v>6.7974862523187199E-2</v>
      </c>
      <c r="BV16" s="299">
        <v>7502.3357159051347</v>
      </c>
      <c r="BW16" s="410">
        <v>6.6455367892976597E-2</v>
      </c>
      <c r="BX16" s="298">
        <v>6055.6011933715627</v>
      </c>
      <c r="BY16" s="411">
        <v>6.8118460634736977E-2</v>
      </c>
      <c r="BZ16" s="299">
        <v>4217.3049772996856</v>
      </c>
      <c r="CA16" s="410">
        <v>6.814468999724442E-2</v>
      </c>
      <c r="CB16" s="298">
        <v>3755.3470376166283</v>
      </c>
      <c r="CC16" s="411">
        <v>6.8376450662333721E-2</v>
      </c>
      <c r="CD16" s="299">
        <v>4366.4166047178805</v>
      </c>
      <c r="CE16" s="410">
        <v>6.8122264431351567E-2</v>
      </c>
      <c r="CF16" s="298">
        <v>5480.6759487523495</v>
      </c>
      <c r="CG16" s="411">
        <v>6.7793808891623231E-2</v>
      </c>
      <c r="CH16" s="299">
        <v>6943.2415098876118</v>
      </c>
      <c r="CI16" s="410">
        <v>6.8001203891658382E-2</v>
      </c>
      <c r="CJ16" s="298">
        <v>7317.0065854927379</v>
      </c>
      <c r="CK16" s="411">
        <v>173.50082109252406</v>
      </c>
      <c r="CL16" s="299">
        <v>7744.2924690723867</v>
      </c>
      <c r="CM16" s="410">
        <v>266.64645236113375</v>
      </c>
      <c r="CN16" s="298">
        <v>9042.5800909718964</v>
      </c>
      <c r="CO16" s="411">
        <v>332.02397191750913</v>
      </c>
      <c r="CP16" s="299">
        <v>9712.5160313595643</v>
      </c>
      <c r="CQ16" s="410">
        <v>529.76697015431432</v>
      </c>
      <c r="CR16" s="298">
        <v>9501.1340048377497</v>
      </c>
      <c r="CS16" s="411">
        <v>353.43465169064672</v>
      </c>
      <c r="CT16" s="299">
        <v>10459.124448472554</v>
      </c>
      <c r="CU16" s="410">
        <v>282.23320604345173</v>
      </c>
      <c r="CV16" s="298">
        <v>8369.4388447194597</v>
      </c>
      <c r="CW16" s="411">
        <v>593.57826130772878</v>
      </c>
      <c r="CX16" s="299">
        <v>8382.6628308282779</v>
      </c>
      <c r="CY16" s="410">
        <v>194.42250883563878</v>
      </c>
      <c r="CZ16" s="298">
        <v>9162.4240632346264</v>
      </c>
      <c r="DA16" s="411">
        <v>94.626950828789163</v>
      </c>
      <c r="DB16" s="299">
        <v>9296.9379756502749</v>
      </c>
    </row>
    <row r="17" spans="2:106" ht="14.25" customHeight="1" x14ac:dyDescent="0.25">
      <c r="B17" s="406" t="s">
        <v>709</v>
      </c>
      <c r="C17" s="393"/>
      <c r="D17" s="393"/>
      <c r="E17" s="406"/>
      <c r="F17" s="406"/>
      <c r="G17" s="303"/>
      <c r="H17" s="303">
        <v>2187.7725054628741</v>
      </c>
      <c r="I17" s="304"/>
      <c r="J17" s="304">
        <v>1043.8900095314311</v>
      </c>
      <c r="K17" s="303"/>
      <c r="L17" s="303">
        <v>969.98008601219226</v>
      </c>
      <c r="M17" s="304"/>
      <c r="N17" s="304">
        <v>1316.2078226935919</v>
      </c>
      <c r="O17" s="303"/>
      <c r="P17" s="303">
        <v>1563.3058809805516</v>
      </c>
      <c r="Q17" s="304"/>
      <c r="R17" s="304">
        <v>1869.3046978186749</v>
      </c>
      <c r="S17" s="303"/>
      <c r="T17" s="303">
        <v>1660.5439968303845</v>
      </c>
      <c r="U17" s="304"/>
      <c r="V17" s="304">
        <v>1855.201086788652</v>
      </c>
      <c r="W17" s="303"/>
      <c r="X17" s="303">
        <v>1609.6964135850931</v>
      </c>
      <c r="Y17" s="304"/>
      <c r="Z17" s="304">
        <v>1492.4651154433232</v>
      </c>
      <c r="AA17" s="303"/>
      <c r="AB17" s="303">
        <v>1025.8493726666088</v>
      </c>
      <c r="AC17" s="304"/>
      <c r="AD17" s="304">
        <v>994.63381866065811</v>
      </c>
      <c r="AE17" s="303"/>
      <c r="AF17" s="303">
        <v>1453.7878998348142</v>
      </c>
      <c r="AG17" s="304"/>
      <c r="AH17" s="304">
        <v>1419.3504898263036</v>
      </c>
      <c r="AI17" s="305"/>
      <c r="AJ17" s="305">
        <v>1313.9894790624689</v>
      </c>
      <c r="AK17" s="304"/>
      <c r="AL17" s="304">
        <v>1667.9971437760973</v>
      </c>
      <c r="AM17" s="303"/>
      <c r="AN17" s="303">
        <v>1635.5316452897391</v>
      </c>
      <c r="AO17" s="304"/>
      <c r="AP17" s="304">
        <v>1533.4961915497561</v>
      </c>
      <c r="AQ17" s="303"/>
      <c r="AR17" s="303">
        <v>1761.6171135312725</v>
      </c>
      <c r="AS17" s="304"/>
      <c r="AT17" s="304">
        <v>1441.3127590234035</v>
      </c>
      <c r="AU17" s="303"/>
      <c r="AV17" s="303">
        <v>1238.1887266992085</v>
      </c>
      <c r="AW17" s="304"/>
      <c r="AX17" s="304">
        <v>812.18675252212961</v>
      </c>
      <c r="AY17" s="312"/>
      <c r="AZ17" s="303">
        <v>738.50145914184213</v>
      </c>
      <c r="BA17" s="313"/>
      <c r="BB17" s="304">
        <v>649.11546390074227</v>
      </c>
      <c r="BC17" s="312"/>
      <c r="BD17" s="303">
        <v>984.62389470128437</v>
      </c>
      <c r="BE17" s="313"/>
      <c r="BF17" s="304">
        <v>1049.2461745250594</v>
      </c>
      <c r="BG17" s="312"/>
      <c r="BH17" s="303">
        <v>412.07010677995095</v>
      </c>
      <c r="BI17" s="313"/>
      <c r="BJ17" s="304">
        <v>611.33330603122567</v>
      </c>
      <c r="BK17" s="312"/>
      <c r="BL17" s="303">
        <v>782.4368921609871</v>
      </c>
      <c r="BM17" s="313"/>
      <c r="BN17" s="304">
        <v>867.41935255462658</v>
      </c>
      <c r="BO17" s="312"/>
      <c r="BP17" s="303">
        <v>735.69785138824363</v>
      </c>
      <c r="BQ17" s="313"/>
      <c r="BR17" s="304">
        <v>741.5068233613074</v>
      </c>
      <c r="BS17" s="312"/>
      <c r="BT17" s="303">
        <v>833.89473415286966</v>
      </c>
      <c r="BU17" s="313"/>
      <c r="BV17" s="304">
        <v>1142.1090663255309</v>
      </c>
      <c r="BW17" s="312"/>
      <c r="BX17" s="303">
        <v>534.80724420162187</v>
      </c>
      <c r="BY17" s="313"/>
      <c r="BZ17" s="304">
        <v>295.52511543497826</v>
      </c>
      <c r="CA17" s="312"/>
      <c r="CB17" s="303">
        <v>388.83642713995323</v>
      </c>
      <c r="CC17" s="313"/>
      <c r="CD17" s="304">
        <v>331.85553207755402</v>
      </c>
      <c r="CE17" s="312"/>
      <c r="CF17" s="303">
        <v>478.62795834564076</v>
      </c>
      <c r="CG17" s="313"/>
      <c r="CH17" s="304">
        <v>461.36085380253417</v>
      </c>
      <c r="CI17" s="312"/>
      <c r="CJ17" s="303">
        <v>524.1606668845684</v>
      </c>
      <c r="CK17" s="313"/>
      <c r="CL17" s="304">
        <v>484.01197231945252</v>
      </c>
      <c r="CM17" s="312"/>
      <c r="CN17" s="303">
        <v>747.92301159372346</v>
      </c>
      <c r="CO17" s="313"/>
      <c r="CP17" s="304">
        <v>1390.0104311476384</v>
      </c>
      <c r="CQ17" s="312"/>
      <c r="CR17" s="303">
        <v>1351.5057753413148</v>
      </c>
      <c r="CS17" s="313"/>
      <c r="CT17" s="304">
        <v>763.675805513868</v>
      </c>
      <c r="CU17" s="312"/>
      <c r="CV17" s="303">
        <v>770.29677762793244</v>
      </c>
      <c r="CW17" s="313"/>
      <c r="CX17" s="304">
        <v>902.73995858220451</v>
      </c>
      <c r="CY17" s="312"/>
      <c r="CZ17" s="303">
        <v>1149.2279848210469</v>
      </c>
      <c r="DA17" s="313"/>
      <c r="DB17" s="304">
        <v>1115.8023417874574</v>
      </c>
    </row>
    <row r="18" spans="2:106" ht="14.25" customHeight="1" x14ac:dyDescent="0.25">
      <c r="B18" s="406" t="s">
        <v>711</v>
      </c>
      <c r="C18" s="393"/>
      <c r="D18" s="393"/>
      <c r="E18" s="406"/>
      <c r="F18" s="406"/>
      <c r="G18" s="303"/>
      <c r="H18" s="303">
        <v>2187.7725054628741</v>
      </c>
      <c r="I18" s="304"/>
      <c r="J18" s="304">
        <v>1043.8900095314311</v>
      </c>
      <c r="K18" s="303"/>
      <c r="L18" s="303">
        <v>969.98008601219226</v>
      </c>
      <c r="M18" s="304"/>
      <c r="N18" s="304">
        <v>1316.2078226935919</v>
      </c>
      <c r="O18" s="303"/>
      <c r="P18" s="303">
        <v>1563.3058809805516</v>
      </c>
      <c r="Q18" s="304"/>
      <c r="R18" s="304">
        <v>1869.3046978186749</v>
      </c>
      <c r="S18" s="303"/>
      <c r="T18" s="303">
        <v>1660.5439968303845</v>
      </c>
      <c r="U18" s="304"/>
      <c r="V18" s="304">
        <v>1855.201086788652</v>
      </c>
      <c r="W18" s="303"/>
      <c r="X18" s="303">
        <v>1609.6964135850931</v>
      </c>
      <c r="Y18" s="304"/>
      <c r="Z18" s="304">
        <v>1492.4651154433232</v>
      </c>
      <c r="AA18" s="303"/>
      <c r="AB18" s="303">
        <v>1025.8493726666088</v>
      </c>
      <c r="AC18" s="304"/>
      <c r="AD18" s="304">
        <v>994.63381866065811</v>
      </c>
      <c r="AE18" s="303"/>
      <c r="AF18" s="303">
        <v>1453.7878998348142</v>
      </c>
      <c r="AG18" s="304"/>
      <c r="AH18" s="304">
        <v>1419.3504898263036</v>
      </c>
      <c r="AI18" s="305"/>
      <c r="AJ18" s="305">
        <v>1313.9894790624689</v>
      </c>
      <c r="AK18" s="304"/>
      <c r="AL18" s="304">
        <v>1667.9971437760973</v>
      </c>
      <c r="AM18" s="303"/>
      <c r="AN18" s="303">
        <v>1635.5316452897391</v>
      </c>
      <c r="AO18" s="304"/>
      <c r="AP18" s="304">
        <v>1533.4961915497561</v>
      </c>
      <c r="AQ18" s="303"/>
      <c r="AR18" s="303">
        <v>1761.6171135312725</v>
      </c>
      <c r="AS18" s="304"/>
      <c r="AT18" s="304">
        <v>1441.3127590234035</v>
      </c>
      <c r="AU18" s="303"/>
      <c r="AV18" s="303">
        <v>1238.1887266992085</v>
      </c>
      <c r="AW18" s="304"/>
      <c r="AX18" s="304">
        <v>812.18675252212961</v>
      </c>
      <c r="AY18" s="312"/>
      <c r="AZ18" s="303">
        <v>738.50145914184213</v>
      </c>
      <c r="BA18" s="313"/>
      <c r="BB18" s="304">
        <v>649.11546390074227</v>
      </c>
      <c r="BC18" s="312"/>
      <c r="BD18" s="303">
        <v>984.62389470128437</v>
      </c>
      <c r="BE18" s="313"/>
      <c r="BF18" s="304">
        <v>1049.2461745250594</v>
      </c>
      <c r="BG18" s="312"/>
      <c r="BH18" s="303">
        <v>412.07010677995095</v>
      </c>
      <c r="BI18" s="313"/>
      <c r="BJ18" s="304">
        <v>611.33330603122567</v>
      </c>
      <c r="BK18" s="312"/>
      <c r="BL18" s="303">
        <v>782.4368921609871</v>
      </c>
      <c r="BM18" s="313"/>
      <c r="BN18" s="304">
        <v>867.41935255462658</v>
      </c>
      <c r="BO18" s="312"/>
      <c r="BP18" s="303">
        <v>735.69785138824363</v>
      </c>
      <c r="BQ18" s="313"/>
      <c r="BR18" s="304">
        <v>741.5068233613074</v>
      </c>
      <c r="BS18" s="312"/>
      <c r="BT18" s="303">
        <v>833.89473415286966</v>
      </c>
      <c r="BU18" s="313"/>
      <c r="BV18" s="304">
        <v>1142.1090663255309</v>
      </c>
      <c r="BW18" s="312"/>
      <c r="BX18" s="303">
        <v>534.80724420162187</v>
      </c>
      <c r="BY18" s="313"/>
      <c r="BZ18" s="304">
        <v>295.52511543497826</v>
      </c>
      <c r="CA18" s="312"/>
      <c r="CB18" s="303">
        <v>388.83642713995323</v>
      </c>
      <c r="CC18" s="313"/>
      <c r="CD18" s="304">
        <v>331.85553207755402</v>
      </c>
      <c r="CE18" s="312"/>
      <c r="CF18" s="303">
        <v>478.62795834564076</v>
      </c>
      <c r="CG18" s="313"/>
      <c r="CH18" s="304">
        <v>461.36085380253417</v>
      </c>
      <c r="CI18" s="312"/>
      <c r="CJ18" s="303">
        <v>524.1606668845684</v>
      </c>
      <c r="CK18" s="313"/>
      <c r="CL18" s="304">
        <v>484.01197231945252</v>
      </c>
      <c r="CM18" s="312"/>
      <c r="CN18" s="303">
        <v>747.92301159372346</v>
      </c>
      <c r="CO18" s="313"/>
      <c r="CP18" s="304">
        <v>1390.0104311476384</v>
      </c>
      <c r="CQ18" s="312"/>
      <c r="CR18" s="303">
        <v>1351.5057753413148</v>
      </c>
      <c r="CS18" s="313"/>
      <c r="CT18" s="304">
        <v>763.675805513868</v>
      </c>
      <c r="CU18" s="312"/>
      <c r="CV18" s="303">
        <v>770.29677762793244</v>
      </c>
      <c r="CW18" s="313"/>
      <c r="CX18" s="304">
        <v>902.73995858220451</v>
      </c>
      <c r="CY18" s="312"/>
      <c r="CZ18" s="303">
        <v>1149.2279848210469</v>
      </c>
      <c r="DA18" s="313"/>
      <c r="DB18" s="304">
        <v>1115.8023417874574</v>
      </c>
    </row>
    <row r="19" spans="2:106" ht="14.25" customHeight="1" x14ac:dyDescent="0.25">
      <c r="B19" s="406" t="s">
        <v>712</v>
      </c>
      <c r="C19" s="393"/>
      <c r="D19" s="393"/>
      <c r="E19" s="406"/>
      <c r="F19" s="406"/>
      <c r="G19" s="303">
        <v>0.29883519921233592</v>
      </c>
      <c r="H19" s="303">
        <v>7054.5896641169784</v>
      </c>
      <c r="I19" s="304">
        <v>0.31108428869700888</v>
      </c>
      <c r="J19" s="304">
        <v>8429.3277241586857</v>
      </c>
      <c r="K19" s="303">
        <v>0.31121293944905271</v>
      </c>
      <c r="L19" s="303">
        <v>9850.213887642607</v>
      </c>
      <c r="M19" s="304">
        <v>0.31120008319148318</v>
      </c>
      <c r="N19" s="304">
        <v>10808.423234294589</v>
      </c>
      <c r="O19" s="303">
        <v>0.31265931685570453</v>
      </c>
      <c r="P19" s="303">
        <v>10941.638674045333</v>
      </c>
      <c r="Q19" s="304">
        <v>9.0854530304024614E-2</v>
      </c>
      <c r="R19" s="304">
        <v>10794.944931366317</v>
      </c>
      <c r="S19" s="303">
        <v>9.3957674943566577E-2</v>
      </c>
      <c r="T19" s="303">
        <v>10111.141334168609</v>
      </c>
      <c r="U19" s="304">
        <v>9.764348541510845E-2</v>
      </c>
      <c r="V19" s="304">
        <v>10775.491625882793</v>
      </c>
      <c r="W19" s="303">
        <v>0.10916913480158745</v>
      </c>
      <c r="X19" s="303">
        <v>9882.3428040402105</v>
      </c>
      <c r="Y19" s="304">
        <v>0.11353804569273156</v>
      </c>
      <c r="Z19" s="304">
        <v>10838.8022929213</v>
      </c>
      <c r="AA19" s="303">
        <v>0.10253871438498957</v>
      </c>
      <c r="AB19" s="303">
        <v>10510.244253062214</v>
      </c>
      <c r="AC19" s="304">
        <v>0.10024280895008607</v>
      </c>
      <c r="AD19" s="304">
        <v>10705.932293178668</v>
      </c>
      <c r="AE19" s="303">
        <v>0.10029639545019897</v>
      </c>
      <c r="AF19" s="303">
        <v>13006.638695766971</v>
      </c>
      <c r="AG19" s="304">
        <v>0.10852194259012014</v>
      </c>
      <c r="AH19" s="304">
        <v>12264.535109555985</v>
      </c>
      <c r="AI19" s="305">
        <v>0.1112175405343776</v>
      </c>
      <c r="AJ19" s="305">
        <v>12147.433674858179</v>
      </c>
      <c r="AK19" s="304">
        <v>0.11325922741189501</v>
      </c>
      <c r="AL19" s="304">
        <v>13350.479730209507</v>
      </c>
      <c r="AM19" s="303">
        <v>0.11262541778713415</v>
      </c>
      <c r="AN19" s="303">
        <v>14078.555184294233</v>
      </c>
      <c r="AO19" s="304">
        <v>2.766714555251127E-2</v>
      </c>
      <c r="AP19" s="304">
        <v>14086.659090004126</v>
      </c>
      <c r="AQ19" s="303">
        <v>2.7497270352145411E-2</v>
      </c>
      <c r="AR19" s="303">
        <v>13730.81988708421</v>
      </c>
      <c r="AS19" s="304">
        <v>6.8131335821692451E-2</v>
      </c>
      <c r="AT19" s="304">
        <v>15020.384708371865</v>
      </c>
      <c r="AU19" s="303">
        <v>6.8145366622094403E-2</v>
      </c>
      <c r="AV19" s="303">
        <v>14088.025357182856</v>
      </c>
      <c r="AW19" s="304">
        <v>6.8175008577296081E-2</v>
      </c>
      <c r="AX19" s="304">
        <v>12804.611144076425</v>
      </c>
      <c r="AY19" s="312">
        <v>6.7845279055243291E-2</v>
      </c>
      <c r="AZ19" s="303">
        <v>15158.105367794929</v>
      </c>
      <c r="BA19" s="313">
        <v>6.8072525353682745E-2</v>
      </c>
      <c r="BB19" s="304">
        <v>16421.72563057964</v>
      </c>
      <c r="BC19" s="312">
        <v>6.8163974380961181E-2</v>
      </c>
      <c r="BD19" s="303">
        <v>15945.349531413272</v>
      </c>
      <c r="BE19" s="313">
        <v>6.8014953147538457E-2</v>
      </c>
      <c r="BF19" s="304">
        <v>14805.780663281586</v>
      </c>
      <c r="BG19" s="312">
        <v>6.8770832493919104E-2</v>
      </c>
      <c r="BH19" s="303">
        <v>8872.6973021317735</v>
      </c>
      <c r="BI19" s="313">
        <v>6.8098703103487535E-2</v>
      </c>
      <c r="BJ19" s="304">
        <v>10098.219975749122</v>
      </c>
      <c r="BK19" s="312">
        <v>6.7887608181006712E-2</v>
      </c>
      <c r="BL19" s="303">
        <v>10107.668585070989</v>
      </c>
      <c r="BM19" s="313">
        <v>6.8541748699896252E-2</v>
      </c>
      <c r="BN19" s="304">
        <v>7711.8777966945827</v>
      </c>
      <c r="BO19" s="312">
        <v>6.8672271634971666E-2</v>
      </c>
      <c r="BP19" s="303">
        <v>8274.3349257438404</v>
      </c>
      <c r="BQ19" s="313">
        <v>6.7696090397592501E-2</v>
      </c>
      <c r="BR19" s="304">
        <v>8792.2262852446311</v>
      </c>
      <c r="BS19" s="312">
        <v>6.8127171092733127E-2</v>
      </c>
      <c r="BT19" s="303">
        <v>7564.6320122881525</v>
      </c>
      <c r="BU19" s="313">
        <v>6.7974862523187199E-2</v>
      </c>
      <c r="BV19" s="304">
        <v>6360.2266495796039</v>
      </c>
      <c r="BW19" s="312">
        <v>6.6455367892976597E-2</v>
      </c>
      <c r="BX19" s="303">
        <v>5520.7939491699408</v>
      </c>
      <c r="BY19" s="313">
        <v>6.8118460634736977E-2</v>
      </c>
      <c r="BZ19" s="304">
        <v>3921.7798618647075</v>
      </c>
      <c r="CA19" s="312">
        <v>6.814468999724442E-2</v>
      </c>
      <c r="CB19" s="303">
        <v>3366.5106104766751</v>
      </c>
      <c r="CC19" s="313">
        <v>6.8376450662333721E-2</v>
      </c>
      <c r="CD19" s="304">
        <v>4034.5610726403261</v>
      </c>
      <c r="CE19" s="312">
        <v>6.8122264431351567E-2</v>
      </c>
      <c r="CF19" s="303">
        <v>5002.0479904067088</v>
      </c>
      <c r="CG19" s="313">
        <v>6.7793808891623231E-2</v>
      </c>
      <c r="CH19" s="304">
        <v>6481.8806560850771</v>
      </c>
      <c r="CI19" s="312">
        <v>6.8001203891658382E-2</v>
      </c>
      <c r="CJ19" s="303">
        <v>6792.84591860817</v>
      </c>
      <c r="CK19" s="313">
        <v>173.50082109252406</v>
      </c>
      <c r="CL19" s="304">
        <v>7260.2804967529346</v>
      </c>
      <c r="CM19" s="312">
        <v>266.64645236113375</v>
      </c>
      <c r="CN19" s="303">
        <v>8294.6570793781739</v>
      </c>
      <c r="CO19" s="313">
        <v>332.02397191750913</v>
      </c>
      <c r="CP19" s="304">
        <v>8322.5056002119254</v>
      </c>
      <c r="CQ19" s="312">
        <v>529.76697015431432</v>
      </c>
      <c r="CR19" s="303">
        <v>8149.628229496434</v>
      </c>
      <c r="CS19" s="313">
        <v>353.43465169064672</v>
      </c>
      <c r="CT19" s="304">
        <v>9695.448642958685</v>
      </c>
      <c r="CU19" s="312">
        <v>282.23320604345173</v>
      </c>
      <c r="CV19" s="303">
        <v>7599.1420670915277</v>
      </c>
      <c r="CW19" s="313">
        <v>593.57826130772878</v>
      </c>
      <c r="CX19" s="304">
        <v>7479.9228722460739</v>
      </c>
      <c r="CY19" s="312">
        <v>194.42250883563878</v>
      </c>
      <c r="CZ19" s="303">
        <v>8013.196078413579</v>
      </c>
      <c r="DA19" s="313">
        <v>94.626950828789163</v>
      </c>
      <c r="DB19" s="304">
        <v>8181.1356338628166</v>
      </c>
    </row>
    <row r="20" spans="2:106" ht="14.25" customHeight="1" x14ac:dyDescent="0.25">
      <c r="B20" s="406" t="s">
        <v>713</v>
      </c>
      <c r="C20" s="393"/>
      <c r="D20" s="393"/>
      <c r="E20" s="406"/>
      <c r="F20" s="406"/>
      <c r="G20" s="303">
        <v>0.29883519921233592</v>
      </c>
      <c r="H20" s="303">
        <v>542.10965280000005</v>
      </c>
      <c r="I20" s="304">
        <v>0.31108428869700888</v>
      </c>
      <c r="J20" s="304">
        <v>1953.5865069750002</v>
      </c>
      <c r="K20" s="303">
        <v>0.31121293944905271</v>
      </c>
      <c r="L20" s="303">
        <v>1983.31663187</v>
      </c>
      <c r="M20" s="304">
        <v>0.31120008319148318</v>
      </c>
      <c r="N20" s="304">
        <v>2027.6741857500001</v>
      </c>
      <c r="O20" s="303">
        <v>0.31265931685570453</v>
      </c>
      <c r="P20" s="303">
        <v>2272.500395865</v>
      </c>
      <c r="Q20" s="304">
        <v>9.0854530304024614E-2</v>
      </c>
      <c r="R20" s="304">
        <v>2263.20854057</v>
      </c>
      <c r="S20" s="303">
        <v>9.3957674943566577E-2</v>
      </c>
      <c r="T20" s="303">
        <v>2216.2954791900002</v>
      </c>
      <c r="U20" s="304">
        <v>9.764348541510845E-2</v>
      </c>
      <c r="V20" s="304">
        <v>2219.3824583400001</v>
      </c>
      <c r="W20" s="303">
        <v>0.10916913480158745</v>
      </c>
      <c r="X20" s="303">
        <v>2206.6920625150001</v>
      </c>
      <c r="Y20" s="304">
        <v>0.11353804569273156</v>
      </c>
      <c r="Z20" s="304">
        <v>2140.0236666700002</v>
      </c>
      <c r="AA20" s="303">
        <v>0.10253871438498957</v>
      </c>
      <c r="AB20" s="303">
        <v>2161.7598263850005</v>
      </c>
      <c r="AC20" s="304">
        <v>0.10024280895008607</v>
      </c>
      <c r="AD20" s="304">
        <v>2203.3382916800001</v>
      </c>
      <c r="AE20" s="303">
        <v>0.10029639545019897</v>
      </c>
      <c r="AF20" s="303">
        <v>2227.1965763850003</v>
      </c>
      <c r="AG20" s="304">
        <v>0.10852194259012014</v>
      </c>
      <c r="AH20" s="304">
        <v>2189.6158263849998</v>
      </c>
      <c r="AI20" s="305">
        <v>0.1112175405343776</v>
      </c>
      <c r="AJ20" s="305">
        <v>2202.3522013849997</v>
      </c>
      <c r="AK20" s="304">
        <v>0.11325922741189501</v>
      </c>
      <c r="AL20" s="304">
        <v>1690.9382916700001</v>
      </c>
      <c r="AM20" s="303">
        <v>0.11262541778713415</v>
      </c>
      <c r="AN20" s="303">
        <v>1674.809673625</v>
      </c>
      <c r="AO20" s="304">
        <v>2.766714555251127E-2</v>
      </c>
      <c r="AP20" s="304">
        <v>1666.234048625</v>
      </c>
      <c r="AQ20" s="303">
        <v>2.7497270352145411E-2</v>
      </c>
      <c r="AR20" s="303">
        <v>1638.3032638599998</v>
      </c>
      <c r="AS20" s="304">
        <v>6.8131335821692451E-2</v>
      </c>
      <c r="AT20" s="304">
        <v>1131.167006975</v>
      </c>
      <c r="AU20" s="303">
        <v>6.8145366622094403E-2</v>
      </c>
      <c r="AV20" s="303">
        <v>349.40905555000001</v>
      </c>
      <c r="AW20" s="304">
        <v>6.8175008577296081E-2</v>
      </c>
      <c r="AX20" s="304">
        <v>248.64794445000001</v>
      </c>
      <c r="AY20" s="312">
        <v>6.7845279055243291E-2</v>
      </c>
      <c r="AZ20" s="303">
        <v>249.64193054999998</v>
      </c>
      <c r="BA20" s="313">
        <v>6.8072525353682745E-2</v>
      </c>
      <c r="BB20" s="304">
        <v>254.01793054999999</v>
      </c>
      <c r="BC20" s="312">
        <v>6.8163974380961181E-2</v>
      </c>
      <c r="BD20" s="303">
        <v>0</v>
      </c>
      <c r="BE20" s="313">
        <v>6.8014953147538457E-2</v>
      </c>
      <c r="BF20" s="304">
        <v>0</v>
      </c>
      <c r="BG20" s="312">
        <v>6.8770832493919104E-2</v>
      </c>
      <c r="BH20" s="303">
        <v>0</v>
      </c>
      <c r="BI20" s="313">
        <v>6.8098703103487535E-2</v>
      </c>
      <c r="BJ20" s="304">
        <v>0</v>
      </c>
      <c r="BK20" s="312">
        <v>6.7887608181006712E-2</v>
      </c>
      <c r="BL20" s="303">
        <v>0</v>
      </c>
      <c r="BM20" s="313">
        <v>6.8541748699896252E-2</v>
      </c>
      <c r="BN20" s="304">
        <v>0</v>
      </c>
      <c r="BO20" s="312">
        <v>6.8672271634971666E-2</v>
      </c>
      <c r="BP20" s="303">
        <v>0</v>
      </c>
      <c r="BQ20" s="313">
        <v>6.7696090397592501E-2</v>
      </c>
      <c r="BR20" s="304">
        <v>0</v>
      </c>
      <c r="BS20" s="312">
        <v>6.8127171092733127E-2</v>
      </c>
      <c r="BT20" s="303">
        <v>0</v>
      </c>
      <c r="BU20" s="313">
        <v>6.7974862523187199E-2</v>
      </c>
      <c r="BV20" s="304">
        <v>0</v>
      </c>
      <c r="BW20" s="312">
        <v>6.6455367892976597E-2</v>
      </c>
      <c r="BX20" s="303">
        <v>0</v>
      </c>
      <c r="BY20" s="313">
        <v>6.8118460634736977E-2</v>
      </c>
      <c r="BZ20" s="304">
        <v>0</v>
      </c>
      <c r="CA20" s="312">
        <v>6.814468999724442E-2</v>
      </c>
      <c r="CB20" s="303">
        <v>0</v>
      </c>
      <c r="CC20" s="313">
        <v>6.8376450662333721E-2</v>
      </c>
      <c r="CD20" s="304">
        <v>0</v>
      </c>
      <c r="CE20" s="312">
        <v>6.8122264431351567E-2</v>
      </c>
      <c r="CF20" s="303">
        <v>0</v>
      </c>
      <c r="CG20" s="313">
        <v>6.7793808891623231E-2</v>
      </c>
      <c r="CH20" s="304">
        <v>0</v>
      </c>
      <c r="CI20" s="312">
        <v>6.8001203891658382E-2</v>
      </c>
      <c r="CJ20" s="303">
        <v>0</v>
      </c>
      <c r="CK20" s="313">
        <v>173.50082109252406</v>
      </c>
      <c r="CL20" s="304">
        <v>0</v>
      </c>
      <c r="CM20" s="312">
        <v>266.64645236113375</v>
      </c>
      <c r="CN20" s="303">
        <v>0</v>
      </c>
      <c r="CO20" s="313">
        <v>332.02397191750913</v>
      </c>
      <c r="CP20" s="304">
        <v>0</v>
      </c>
      <c r="CQ20" s="312">
        <v>529.76697015431432</v>
      </c>
      <c r="CR20" s="303">
        <v>0</v>
      </c>
      <c r="CS20" s="313">
        <v>353.43465169064672</v>
      </c>
      <c r="CT20" s="304">
        <v>0</v>
      </c>
      <c r="CU20" s="312">
        <v>282.23320604345173</v>
      </c>
      <c r="CV20" s="303">
        <v>0</v>
      </c>
      <c r="CW20" s="313">
        <v>593.57826130772878</v>
      </c>
      <c r="CX20" s="304">
        <v>0</v>
      </c>
      <c r="CY20" s="312">
        <v>194.42250883563878</v>
      </c>
      <c r="CZ20" s="303">
        <v>0</v>
      </c>
      <c r="DA20" s="313">
        <v>94.626950828789163</v>
      </c>
      <c r="DB20" s="304">
        <v>0</v>
      </c>
    </row>
    <row r="21" spans="2:106" ht="14.25" customHeight="1" x14ac:dyDescent="0.25">
      <c r="B21" s="406" t="s">
        <v>714</v>
      </c>
      <c r="C21" s="393"/>
      <c r="D21" s="393"/>
      <c r="E21" s="406"/>
      <c r="F21" s="406"/>
      <c r="G21" s="303">
        <v>0.29883519921233592</v>
      </c>
      <c r="H21" s="303">
        <v>542.10965280000005</v>
      </c>
      <c r="I21" s="304">
        <v>0.31108428869700888</v>
      </c>
      <c r="J21" s="304">
        <v>1953.5865069750002</v>
      </c>
      <c r="K21" s="303">
        <v>0.31121293944905271</v>
      </c>
      <c r="L21" s="303">
        <v>1983.31663187</v>
      </c>
      <c r="M21" s="304">
        <v>0.31120008319148318</v>
      </c>
      <c r="N21" s="304">
        <v>2027.6741857500001</v>
      </c>
      <c r="O21" s="303">
        <v>0.31265931685570453</v>
      </c>
      <c r="P21" s="303">
        <v>2272.500395865</v>
      </c>
      <c r="Q21" s="304">
        <v>9.0854530304024614E-2</v>
      </c>
      <c r="R21" s="304">
        <v>2263.20854057</v>
      </c>
      <c r="S21" s="303"/>
      <c r="T21" s="303">
        <v>2216.2954791900002</v>
      </c>
      <c r="U21" s="304"/>
      <c r="V21" s="304">
        <v>2219.3824583400001</v>
      </c>
      <c r="W21" s="303"/>
      <c r="X21" s="303">
        <v>2206.6920625150001</v>
      </c>
      <c r="Y21" s="304"/>
      <c r="Z21" s="304">
        <v>2140.0236666700002</v>
      </c>
      <c r="AA21" s="303"/>
      <c r="AB21" s="303">
        <v>2161.7598263850005</v>
      </c>
      <c r="AC21" s="304"/>
      <c r="AD21" s="304">
        <v>2203.3382916800001</v>
      </c>
      <c r="AE21" s="303"/>
      <c r="AF21" s="303">
        <v>2227.1965763850003</v>
      </c>
      <c r="AG21" s="304"/>
      <c r="AH21" s="304">
        <v>2189.6158263849998</v>
      </c>
      <c r="AI21" s="305"/>
      <c r="AJ21" s="305">
        <v>2202.3522013849997</v>
      </c>
      <c r="AK21" s="304"/>
      <c r="AL21" s="304">
        <v>1690.9382916700001</v>
      </c>
      <c r="AM21" s="303"/>
      <c r="AN21" s="303">
        <v>1674.809673625</v>
      </c>
      <c r="AO21" s="304"/>
      <c r="AP21" s="304">
        <v>1666.234048625</v>
      </c>
      <c r="AQ21" s="303"/>
      <c r="AR21" s="303">
        <v>1638.3032638599998</v>
      </c>
      <c r="AS21" s="304"/>
      <c r="AT21" s="304">
        <v>1131.167006975</v>
      </c>
      <c r="AU21" s="303"/>
      <c r="AV21" s="303">
        <v>349.40905555000001</v>
      </c>
      <c r="AW21" s="304"/>
      <c r="AX21" s="304">
        <v>248.64794445000001</v>
      </c>
      <c r="AY21" s="303"/>
      <c r="AZ21" s="303">
        <v>249.64193054999998</v>
      </c>
      <c r="BA21" s="304"/>
      <c r="BB21" s="304">
        <v>254.01793054999999</v>
      </c>
      <c r="BC21" s="303"/>
      <c r="BD21" s="303">
        <v>0</v>
      </c>
      <c r="BE21" s="304"/>
      <c r="BF21" s="304">
        <v>0</v>
      </c>
      <c r="BG21" s="303"/>
      <c r="BH21" s="303">
        <v>0</v>
      </c>
      <c r="BI21" s="304"/>
      <c r="BJ21" s="304">
        <v>0</v>
      </c>
      <c r="BK21" s="303"/>
      <c r="BL21" s="303">
        <v>0</v>
      </c>
      <c r="BM21" s="304"/>
      <c r="BN21" s="304">
        <v>0</v>
      </c>
      <c r="BO21" s="303"/>
      <c r="BP21" s="303">
        <v>0</v>
      </c>
      <c r="BQ21" s="304"/>
      <c r="BR21" s="304">
        <v>0</v>
      </c>
      <c r="BS21" s="303"/>
      <c r="BT21" s="303">
        <v>0</v>
      </c>
      <c r="BU21" s="304">
        <v>6.7974862523187199E-2</v>
      </c>
      <c r="BV21" s="304">
        <v>0</v>
      </c>
      <c r="BW21" s="303">
        <v>6.6455367892976597E-2</v>
      </c>
      <c r="BX21" s="303">
        <v>0</v>
      </c>
      <c r="BY21" s="304">
        <v>6.8118460634736977E-2</v>
      </c>
      <c r="BZ21" s="304">
        <v>0</v>
      </c>
      <c r="CA21" s="312">
        <v>6.814468999724442E-2</v>
      </c>
      <c r="CB21" s="303">
        <v>0</v>
      </c>
      <c r="CC21" s="313">
        <v>6.8376450662333721E-2</v>
      </c>
      <c r="CD21" s="304">
        <v>0</v>
      </c>
      <c r="CE21" s="312">
        <v>6.8122264431351567E-2</v>
      </c>
      <c r="CF21" s="303">
        <v>0</v>
      </c>
      <c r="CG21" s="313">
        <v>6.7793808891623231E-2</v>
      </c>
      <c r="CH21" s="304">
        <v>0</v>
      </c>
      <c r="CI21" s="303">
        <v>6.8001203891658382E-2</v>
      </c>
      <c r="CJ21" s="303">
        <v>0</v>
      </c>
      <c r="CK21" s="313">
        <v>173.50082109252406</v>
      </c>
      <c r="CL21" s="304">
        <v>0</v>
      </c>
      <c r="CM21" s="303">
        <v>266.64645236113375</v>
      </c>
      <c r="CN21" s="303">
        <v>0</v>
      </c>
      <c r="CO21" s="313">
        <v>332.02397191750913</v>
      </c>
      <c r="CP21" s="304">
        <v>0</v>
      </c>
      <c r="CQ21" s="303">
        <v>529.76697015431432</v>
      </c>
      <c r="CR21" s="303">
        <v>0</v>
      </c>
      <c r="CS21" s="313">
        <v>353.43465169064672</v>
      </c>
      <c r="CT21" s="304">
        <v>0</v>
      </c>
      <c r="CU21" s="303">
        <v>282.23320604345173</v>
      </c>
      <c r="CV21" s="303">
        <v>0</v>
      </c>
      <c r="CW21" s="313">
        <v>593.57826130772878</v>
      </c>
      <c r="CX21" s="304">
        <v>0</v>
      </c>
      <c r="CY21" s="303">
        <v>194.42250883563878</v>
      </c>
      <c r="CZ21" s="303">
        <v>0</v>
      </c>
      <c r="DA21" s="313">
        <v>94.626950828789163</v>
      </c>
      <c r="DB21" s="304">
        <v>0</v>
      </c>
    </row>
    <row r="22" spans="2:106" ht="14.25" customHeight="1" x14ac:dyDescent="0.25">
      <c r="B22" s="406" t="s">
        <v>715</v>
      </c>
      <c r="C22" s="393"/>
      <c r="D22" s="393"/>
      <c r="E22" s="406"/>
      <c r="F22" s="406"/>
      <c r="G22" s="303"/>
      <c r="H22" s="303">
        <v>6507.6817474669788</v>
      </c>
      <c r="I22" s="304"/>
      <c r="J22" s="304">
        <v>6475.741217183685</v>
      </c>
      <c r="K22" s="303"/>
      <c r="L22" s="303">
        <v>7866.8972557726065</v>
      </c>
      <c r="M22" s="304"/>
      <c r="N22" s="304">
        <v>8604.7504791020892</v>
      </c>
      <c r="O22" s="303"/>
      <c r="P22" s="303">
        <v>8492.3469587378331</v>
      </c>
      <c r="Q22" s="304"/>
      <c r="R22" s="304">
        <v>8357.7080292963165</v>
      </c>
      <c r="S22" s="303"/>
      <c r="T22" s="303">
        <v>7719.5857855361082</v>
      </c>
      <c r="U22" s="304"/>
      <c r="V22" s="304">
        <v>8384.0428481002928</v>
      </c>
      <c r="W22" s="303"/>
      <c r="X22" s="303">
        <v>7502.7881720827099</v>
      </c>
      <c r="Y22" s="304"/>
      <c r="Z22" s="304">
        <v>8534.2912651363004</v>
      </c>
      <c r="AA22" s="303"/>
      <c r="AB22" s="303">
        <v>8180.0853294472136</v>
      </c>
      <c r="AC22" s="304"/>
      <c r="AD22" s="304">
        <v>8330.2088903836684</v>
      </c>
      <c r="AE22" s="303"/>
      <c r="AF22" s="303">
        <v>10600.06177215197</v>
      </c>
      <c r="AG22" s="304"/>
      <c r="AH22" s="304">
        <v>9902.7314359409866</v>
      </c>
      <c r="AI22" s="305"/>
      <c r="AJ22" s="305">
        <v>9767.5823762431792</v>
      </c>
      <c r="AK22" s="304"/>
      <c r="AL22" s="304">
        <v>11481.491577424506</v>
      </c>
      <c r="AM22" s="303"/>
      <c r="AN22" s="303">
        <v>12224.028677341734</v>
      </c>
      <c r="AO22" s="304"/>
      <c r="AP22" s="304">
        <v>12243.600958051627</v>
      </c>
      <c r="AQ22" s="303"/>
      <c r="AR22" s="303">
        <v>11914.881900994209</v>
      </c>
      <c r="AS22" s="304"/>
      <c r="AT22" s="304">
        <v>13715.530493069366</v>
      </c>
      <c r="AU22" s="303"/>
      <c r="AV22" s="303">
        <v>13562.426982190356</v>
      </c>
      <c r="AW22" s="304"/>
      <c r="AX22" s="304">
        <v>12385.447866298926</v>
      </c>
      <c r="AY22" s="303"/>
      <c r="AZ22" s="303">
        <v>14731.42799280243</v>
      </c>
      <c r="BA22" s="304"/>
      <c r="BB22" s="304">
        <v>15991.375755587142</v>
      </c>
      <c r="BC22" s="303"/>
      <c r="BD22" s="303">
        <v>15767.360336970773</v>
      </c>
      <c r="BE22" s="304"/>
      <c r="BF22" s="304">
        <v>14631.932066051586</v>
      </c>
      <c r="BG22" s="303"/>
      <c r="BH22" s="303">
        <v>8749.0841076892739</v>
      </c>
      <c r="BI22" s="304"/>
      <c r="BJ22" s="304">
        <v>9969.575531306622</v>
      </c>
      <c r="BK22" s="303"/>
      <c r="BL22" s="303">
        <v>9982.9616406284895</v>
      </c>
      <c r="BM22" s="304"/>
      <c r="BN22" s="304">
        <v>7616.1625189245824</v>
      </c>
      <c r="BO22" s="303"/>
      <c r="BP22" s="303">
        <v>8168.0856201863398</v>
      </c>
      <c r="BQ22" s="304"/>
      <c r="BR22" s="304">
        <v>8673.8630908021314</v>
      </c>
      <c r="BS22" s="303"/>
      <c r="BT22" s="303">
        <v>7453.7743734031528</v>
      </c>
      <c r="BU22" s="304"/>
      <c r="BV22" s="304">
        <v>6266.4315106946042</v>
      </c>
      <c r="BW22" s="303"/>
      <c r="BX22" s="303">
        <v>5435.3113102849411</v>
      </c>
      <c r="BY22" s="304"/>
      <c r="BZ22" s="304">
        <v>3836.0784729797074</v>
      </c>
      <c r="CA22" s="303"/>
      <c r="CB22" s="303">
        <v>3261.9967215916749</v>
      </c>
      <c r="CC22" s="304"/>
      <c r="CD22" s="304">
        <v>3956.9048226403261</v>
      </c>
      <c r="CE22" s="303"/>
      <c r="CF22" s="303">
        <v>4899.6729904067088</v>
      </c>
      <c r="CG22" s="304"/>
      <c r="CH22" s="304">
        <v>6374.4787810850776</v>
      </c>
      <c r="CI22" s="303"/>
      <c r="CJ22" s="303">
        <v>6681.5065436081704</v>
      </c>
      <c r="CK22" s="304"/>
      <c r="CL22" s="304">
        <v>7128.1567436279347</v>
      </c>
      <c r="CM22" s="303"/>
      <c r="CN22" s="303">
        <v>8150.939576253174</v>
      </c>
      <c r="CO22" s="304"/>
      <c r="CP22" s="304">
        <v>8172.4409563525496</v>
      </c>
      <c r="CQ22" s="303"/>
      <c r="CR22" s="303">
        <v>7999.5635856370591</v>
      </c>
      <c r="CS22" s="304"/>
      <c r="CT22" s="304">
        <v>9539.0368491736062</v>
      </c>
      <c r="CU22" s="303"/>
      <c r="CV22" s="303">
        <v>7442.7302733064498</v>
      </c>
      <c r="CW22" s="304"/>
      <c r="CX22" s="304">
        <v>7317.386078460996</v>
      </c>
      <c r="CY22" s="303"/>
      <c r="CZ22" s="303">
        <v>7850.6592846285012</v>
      </c>
      <c r="DA22" s="304"/>
      <c r="DB22" s="304">
        <v>8012.4738400777387</v>
      </c>
    </row>
    <row r="23" spans="2:106" ht="14.25" customHeight="1" x14ac:dyDescent="0.25">
      <c r="B23" s="406" t="s">
        <v>716</v>
      </c>
      <c r="C23" s="393"/>
      <c r="D23" s="393"/>
      <c r="E23" s="406"/>
      <c r="F23" s="406"/>
      <c r="G23" s="303"/>
      <c r="H23" s="303">
        <v>575.9665379882714</v>
      </c>
      <c r="I23" s="304"/>
      <c r="J23" s="304">
        <v>507.29653582310021</v>
      </c>
      <c r="K23" s="303"/>
      <c r="L23" s="303">
        <v>646.2238393202415</v>
      </c>
      <c r="M23" s="304"/>
      <c r="N23" s="304">
        <v>593.92934993276924</v>
      </c>
      <c r="O23" s="303"/>
      <c r="P23" s="303">
        <v>543.12568627696407</v>
      </c>
      <c r="Q23" s="304"/>
      <c r="R23" s="304">
        <v>398.78501722519439</v>
      </c>
      <c r="S23" s="303"/>
      <c r="T23" s="303">
        <v>311.75359858640468</v>
      </c>
      <c r="U23" s="304"/>
      <c r="V23" s="304">
        <v>216.16901409366196</v>
      </c>
      <c r="W23" s="303"/>
      <c r="X23" s="303">
        <v>28.28023701717558</v>
      </c>
      <c r="Y23" s="304"/>
      <c r="Z23" s="304">
        <v>33.411526505494145</v>
      </c>
      <c r="AA23" s="303"/>
      <c r="AB23" s="303">
        <v>15.218652424172397</v>
      </c>
      <c r="AC23" s="304"/>
      <c r="AD23" s="304">
        <v>36.452116578783503</v>
      </c>
      <c r="AE23" s="303"/>
      <c r="AF23" s="303">
        <v>84.800337090469839</v>
      </c>
      <c r="AG23" s="304"/>
      <c r="AH23" s="304">
        <v>79.726948038022769</v>
      </c>
      <c r="AI23" s="305"/>
      <c r="AJ23" s="305">
        <v>77.933175709123446</v>
      </c>
      <c r="AK23" s="304"/>
      <c r="AL23" s="304">
        <v>129.07932569325007</v>
      </c>
      <c r="AM23" s="303"/>
      <c r="AN23" s="303">
        <v>124.90866485544038</v>
      </c>
      <c r="AO23" s="304"/>
      <c r="AP23" s="304">
        <v>166.72743170836205</v>
      </c>
      <c r="AQ23" s="303"/>
      <c r="AR23" s="303">
        <v>159.5858435325766</v>
      </c>
      <c r="AS23" s="304"/>
      <c r="AT23" s="304">
        <v>129.89139353660647</v>
      </c>
      <c r="AU23" s="303"/>
      <c r="AV23" s="303">
        <v>99.595249864413518</v>
      </c>
      <c r="AW23" s="304"/>
      <c r="AX23" s="304">
        <v>59.584196656614751</v>
      </c>
      <c r="AY23" s="303"/>
      <c r="AZ23" s="303">
        <v>65.332643205503217</v>
      </c>
      <c r="BA23" s="304"/>
      <c r="BB23" s="304">
        <v>65.797223337188569</v>
      </c>
      <c r="BC23" s="303"/>
      <c r="BD23" s="303">
        <v>61.351665471930403</v>
      </c>
      <c r="BE23" s="304"/>
      <c r="BF23" s="304">
        <v>118.55724234423839</v>
      </c>
      <c r="BG23" s="303"/>
      <c r="BH23" s="303">
        <v>52.985633150176035</v>
      </c>
      <c r="BI23" s="304"/>
      <c r="BJ23" s="304">
        <v>8.4477443943900674</v>
      </c>
      <c r="BK23" s="303"/>
      <c r="BL23" s="303">
        <v>8.5203045786554572</v>
      </c>
      <c r="BM23" s="304"/>
      <c r="BN23" s="304">
        <v>3.5689075491674327</v>
      </c>
      <c r="BO23" s="303"/>
      <c r="BP23" s="303">
        <v>5.7441580290130645</v>
      </c>
      <c r="BQ23" s="304"/>
      <c r="BR23" s="304">
        <v>2.6211455653820201</v>
      </c>
      <c r="BS23" s="303"/>
      <c r="BT23" s="303">
        <v>0.29969577099142242</v>
      </c>
      <c r="BU23" s="304"/>
      <c r="BV23" s="304">
        <v>0.97829379729265653</v>
      </c>
      <c r="BW23" s="303"/>
      <c r="BX23" s="303">
        <v>4.0658597013167306</v>
      </c>
      <c r="BY23" s="304"/>
      <c r="BZ23" s="304">
        <v>5.7704339464679792</v>
      </c>
      <c r="CA23" s="303"/>
      <c r="CB23" s="303">
        <v>26.975208142053297</v>
      </c>
      <c r="CC23" s="304"/>
      <c r="CD23" s="304">
        <v>30.890369632435039</v>
      </c>
      <c r="CE23" s="303"/>
      <c r="CF23" s="303">
        <v>170.56286859610958</v>
      </c>
      <c r="CG23" s="304"/>
      <c r="CH23" s="304">
        <v>510.227013964599</v>
      </c>
      <c r="CI23" s="303"/>
      <c r="CJ23" s="303">
        <v>355.47666100829952</v>
      </c>
      <c r="CK23" s="304"/>
      <c r="CL23" s="304">
        <v>209.85643521201317</v>
      </c>
      <c r="CM23" s="303"/>
      <c r="CN23" s="303">
        <v>97.209444144320145</v>
      </c>
      <c r="CO23" s="304"/>
      <c r="CP23" s="304">
        <v>34.836789790989798</v>
      </c>
      <c r="CQ23" s="303"/>
      <c r="CR23" s="303">
        <v>5.3138180488273496</v>
      </c>
      <c r="CS23" s="304"/>
      <c r="CT23" s="304">
        <v>28.474818717794154</v>
      </c>
      <c r="CU23" s="303"/>
      <c r="CV23" s="303">
        <v>14.30731156973288</v>
      </c>
      <c r="CW23" s="304"/>
      <c r="CX23" s="304">
        <v>0.88780762903367183</v>
      </c>
      <c r="CY23" s="303"/>
      <c r="CZ23" s="303">
        <v>13.529272040304846</v>
      </c>
      <c r="DA23" s="304"/>
      <c r="DB23" s="304">
        <v>4.7874467311691795</v>
      </c>
    </row>
    <row r="24" spans="2:106" ht="14.25" customHeight="1" x14ac:dyDescent="0.25">
      <c r="B24" s="406" t="s">
        <v>717</v>
      </c>
      <c r="C24" s="393"/>
      <c r="D24" s="393"/>
      <c r="E24" s="406"/>
      <c r="F24" s="406"/>
      <c r="G24" s="303"/>
      <c r="H24" s="303">
        <v>5931.715209478707</v>
      </c>
      <c r="I24" s="304"/>
      <c r="J24" s="304">
        <v>5968.4446813605846</v>
      </c>
      <c r="K24" s="303"/>
      <c r="L24" s="303">
        <v>7220.673416452365</v>
      </c>
      <c r="M24" s="304"/>
      <c r="N24" s="304">
        <v>8010.8211291693196</v>
      </c>
      <c r="O24" s="303"/>
      <c r="P24" s="303">
        <v>7949.2212724608698</v>
      </c>
      <c r="Q24" s="304"/>
      <c r="R24" s="304">
        <v>7958.9230120711227</v>
      </c>
      <c r="S24" s="303"/>
      <c r="T24" s="303">
        <v>7407.8321869497031</v>
      </c>
      <c r="U24" s="304"/>
      <c r="V24" s="304">
        <v>8167.8738340066302</v>
      </c>
      <c r="W24" s="303"/>
      <c r="X24" s="303">
        <v>7474.5079350655342</v>
      </c>
      <c r="Y24" s="304"/>
      <c r="Z24" s="304">
        <v>8500.879738630807</v>
      </c>
      <c r="AA24" s="303"/>
      <c r="AB24" s="303">
        <v>8164.8666770230411</v>
      </c>
      <c r="AC24" s="304"/>
      <c r="AD24" s="304">
        <v>8293.7567738048856</v>
      </c>
      <c r="AE24" s="303"/>
      <c r="AF24" s="303">
        <v>10515.2614350615</v>
      </c>
      <c r="AG24" s="304"/>
      <c r="AH24" s="304">
        <v>9823.0044879029647</v>
      </c>
      <c r="AI24" s="305"/>
      <c r="AJ24" s="305">
        <v>9689.6492005340551</v>
      </c>
      <c r="AK24" s="304"/>
      <c r="AL24" s="304">
        <v>11352.412251731255</v>
      </c>
      <c r="AM24" s="303"/>
      <c r="AN24" s="303">
        <v>12099.120012486293</v>
      </c>
      <c r="AO24" s="304"/>
      <c r="AP24" s="304">
        <v>12076.873526343265</v>
      </c>
      <c r="AQ24" s="303"/>
      <c r="AR24" s="303">
        <v>11755.296057461632</v>
      </c>
      <c r="AS24" s="304"/>
      <c r="AT24" s="304">
        <v>13585.639099532758</v>
      </c>
      <c r="AU24" s="303"/>
      <c r="AV24" s="303">
        <v>13462.831732325943</v>
      </c>
      <c r="AW24" s="304"/>
      <c r="AX24" s="304">
        <v>12325.863669642311</v>
      </c>
      <c r="AY24" s="303"/>
      <c r="AZ24" s="303">
        <v>14666.095349596926</v>
      </c>
      <c r="BA24" s="304"/>
      <c r="BB24" s="304">
        <v>15925.578532249952</v>
      </c>
      <c r="BC24" s="303"/>
      <c r="BD24" s="303">
        <v>15706.008671498843</v>
      </c>
      <c r="BE24" s="304"/>
      <c r="BF24" s="304">
        <v>14513.374823707347</v>
      </c>
      <c r="BG24" s="303"/>
      <c r="BH24" s="303">
        <v>8696.0984745390979</v>
      </c>
      <c r="BI24" s="304"/>
      <c r="BJ24" s="304">
        <v>9961.1277869122314</v>
      </c>
      <c r="BK24" s="303"/>
      <c r="BL24" s="303">
        <v>9974.4413360498347</v>
      </c>
      <c r="BM24" s="304"/>
      <c r="BN24" s="304">
        <v>7612.5936113754151</v>
      </c>
      <c r="BO24" s="303"/>
      <c r="BP24" s="303">
        <v>8162.3414621573265</v>
      </c>
      <c r="BQ24" s="304"/>
      <c r="BR24" s="304">
        <v>8671.2419452367485</v>
      </c>
      <c r="BS24" s="303"/>
      <c r="BT24" s="303">
        <v>7453.4746776321617</v>
      </c>
      <c r="BU24" s="304"/>
      <c r="BV24" s="304">
        <v>6265.4532168973119</v>
      </c>
      <c r="BW24" s="303"/>
      <c r="BX24" s="303">
        <v>5431.245450583624</v>
      </c>
      <c r="BY24" s="304"/>
      <c r="BZ24" s="304">
        <v>3830.3080390332393</v>
      </c>
      <c r="CA24" s="303"/>
      <c r="CB24" s="303">
        <v>3235.0215134496216</v>
      </c>
      <c r="CC24" s="304"/>
      <c r="CD24" s="304">
        <v>3926.014453007891</v>
      </c>
      <c r="CE24" s="303"/>
      <c r="CF24" s="303">
        <v>4729.1101218105996</v>
      </c>
      <c r="CG24" s="304"/>
      <c r="CH24" s="304">
        <v>5864.2517671204787</v>
      </c>
      <c r="CI24" s="303"/>
      <c r="CJ24" s="303">
        <v>6326.0298825998707</v>
      </c>
      <c r="CK24" s="304"/>
      <c r="CL24" s="304">
        <v>6918.3003084159218</v>
      </c>
      <c r="CM24" s="303"/>
      <c r="CN24" s="303">
        <v>8053.7301321088535</v>
      </c>
      <c r="CO24" s="304"/>
      <c r="CP24" s="304">
        <v>8137.6041665615594</v>
      </c>
      <c r="CQ24" s="303"/>
      <c r="CR24" s="303">
        <v>7994.2497675882314</v>
      </c>
      <c r="CS24" s="304"/>
      <c r="CT24" s="304">
        <v>9510.5620304558124</v>
      </c>
      <c r="CU24" s="303"/>
      <c r="CV24" s="303">
        <v>7428.4229617367173</v>
      </c>
      <c r="CW24" s="304"/>
      <c r="CX24" s="304">
        <v>7316.4982708319621</v>
      </c>
      <c r="CY24" s="303"/>
      <c r="CZ24" s="303">
        <v>7837.1300125881962</v>
      </c>
      <c r="DA24" s="304"/>
      <c r="DB24" s="304">
        <v>8007.6863933465693</v>
      </c>
    </row>
    <row r="25" spans="2:106" ht="14.25" customHeight="1" x14ac:dyDescent="0.25">
      <c r="B25" s="406"/>
      <c r="C25" s="393" t="s">
        <v>718</v>
      </c>
      <c r="D25" s="393"/>
      <c r="E25" s="406"/>
      <c r="F25" s="406"/>
      <c r="G25" s="303"/>
      <c r="H25" s="303"/>
      <c r="I25" s="304"/>
      <c r="J25" s="304"/>
      <c r="K25" s="303"/>
      <c r="L25" s="303"/>
      <c r="M25" s="304"/>
      <c r="N25" s="304"/>
      <c r="O25" s="303"/>
      <c r="P25" s="303"/>
      <c r="Q25" s="304"/>
      <c r="R25" s="304"/>
      <c r="S25" s="303"/>
      <c r="T25" s="303"/>
      <c r="U25" s="304"/>
      <c r="V25" s="304"/>
      <c r="W25" s="303"/>
      <c r="X25" s="303"/>
      <c r="Y25" s="304"/>
      <c r="Z25" s="304"/>
      <c r="AA25" s="303"/>
      <c r="AB25" s="303"/>
      <c r="AC25" s="304"/>
      <c r="AD25" s="304"/>
      <c r="AE25" s="303"/>
      <c r="AF25" s="303"/>
      <c r="AG25" s="304"/>
      <c r="AH25" s="304"/>
      <c r="AI25" s="305"/>
      <c r="AJ25" s="305"/>
      <c r="AK25" s="304"/>
      <c r="AL25" s="304"/>
      <c r="AM25" s="303"/>
      <c r="AN25" s="303"/>
      <c r="AO25" s="304"/>
      <c r="AP25" s="304"/>
      <c r="AQ25" s="303"/>
      <c r="AR25" s="303"/>
      <c r="AS25" s="304"/>
      <c r="AT25" s="304"/>
      <c r="AU25" s="303"/>
      <c r="AV25" s="303"/>
      <c r="AW25" s="304"/>
      <c r="AX25" s="304"/>
      <c r="AY25" s="303"/>
      <c r="AZ25" s="303"/>
      <c r="BA25" s="304"/>
      <c r="BB25" s="304"/>
      <c r="BC25" s="303"/>
      <c r="BD25" s="303"/>
      <c r="BE25" s="304"/>
      <c r="BF25" s="304"/>
      <c r="BG25" s="303"/>
      <c r="BH25" s="303"/>
      <c r="BI25" s="304"/>
      <c r="BJ25" s="304"/>
      <c r="BK25" s="303"/>
      <c r="BL25" s="303"/>
      <c r="BM25" s="304"/>
      <c r="BN25" s="304"/>
      <c r="BO25" s="303"/>
      <c r="BP25" s="303"/>
      <c r="BQ25" s="304"/>
      <c r="BR25" s="304"/>
      <c r="BS25" s="303"/>
      <c r="BT25" s="303"/>
      <c r="BU25" s="304"/>
      <c r="BV25" s="304">
        <v>24.32</v>
      </c>
      <c r="BW25" s="303"/>
      <c r="BX25" s="303">
        <v>24.08</v>
      </c>
      <c r="BY25" s="304"/>
      <c r="BZ25" s="304">
        <v>25.736999999999998</v>
      </c>
      <c r="CA25" s="303"/>
      <c r="CB25" s="303">
        <v>25.835799999999999</v>
      </c>
      <c r="CC25" s="304"/>
      <c r="CD25" s="304">
        <v>26.561800000000002</v>
      </c>
      <c r="CE25" s="303"/>
      <c r="CF25" s="303">
        <v>25.604500000000002</v>
      </c>
      <c r="CG25" s="304"/>
      <c r="CH25" s="304">
        <v>27.4574</v>
      </c>
      <c r="CI25" s="303"/>
      <c r="CJ25" s="303">
        <v>22.250900000000001</v>
      </c>
      <c r="CK25" s="304"/>
      <c r="CL25" s="304">
        <v>0</v>
      </c>
      <c r="CM25" s="303"/>
      <c r="CN25" s="303">
        <v>0</v>
      </c>
      <c r="CO25" s="304"/>
      <c r="CP25" s="304">
        <v>0</v>
      </c>
      <c r="CQ25" s="303"/>
      <c r="CR25" s="303">
        <v>0</v>
      </c>
      <c r="CS25" s="304"/>
      <c r="CT25" s="304">
        <v>0</v>
      </c>
      <c r="CU25" s="303"/>
      <c r="CV25" s="303">
        <v>0</v>
      </c>
      <c r="CW25" s="304"/>
      <c r="CX25" s="304">
        <v>0</v>
      </c>
      <c r="CY25" s="303"/>
      <c r="CZ25" s="303">
        <v>0</v>
      </c>
      <c r="DA25" s="304"/>
      <c r="DB25" s="304">
        <v>0</v>
      </c>
    </row>
    <row r="26" spans="2:106" ht="14.25" customHeight="1" x14ac:dyDescent="0.25">
      <c r="B26" s="406"/>
      <c r="C26" s="393" t="s">
        <v>719</v>
      </c>
      <c r="D26" s="393"/>
      <c r="E26" s="406"/>
      <c r="F26" s="406"/>
      <c r="G26" s="303"/>
      <c r="H26" s="303"/>
      <c r="I26" s="304"/>
      <c r="J26" s="304"/>
      <c r="K26" s="303"/>
      <c r="L26" s="303"/>
      <c r="M26" s="304"/>
      <c r="N26" s="304"/>
      <c r="O26" s="303"/>
      <c r="P26" s="303"/>
      <c r="Q26" s="304"/>
      <c r="R26" s="304"/>
      <c r="S26" s="303"/>
      <c r="T26" s="303"/>
      <c r="U26" s="304"/>
      <c r="V26" s="304"/>
      <c r="W26" s="303"/>
      <c r="X26" s="303"/>
      <c r="Y26" s="304"/>
      <c r="Z26" s="304"/>
      <c r="AA26" s="303"/>
      <c r="AB26" s="303"/>
      <c r="AC26" s="304"/>
      <c r="AD26" s="304"/>
      <c r="AE26" s="303"/>
      <c r="AF26" s="303"/>
      <c r="AG26" s="304"/>
      <c r="AH26" s="304"/>
      <c r="AI26" s="305"/>
      <c r="AJ26" s="305"/>
      <c r="AK26" s="304"/>
      <c r="AL26" s="304"/>
      <c r="AM26" s="303"/>
      <c r="AN26" s="303"/>
      <c r="AO26" s="304"/>
      <c r="AP26" s="304"/>
      <c r="AQ26" s="303"/>
      <c r="AR26" s="303"/>
      <c r="AS26" s="304"/>
      <c r="AT26" s="304"/>
      <c r="AU26" s="303"/>
      <c r="AV26" s="303"/>
      <c r="AW26" s="304"/>
      <c r="AX26" s="304"/>
      <c r="AY26" s="303"/>
      <c r="AZ26" s="303"/>
      <c r="BA26" s="304"/>
      <c r="BB26" s="304"/>
      <c r="BC26" s="303"/>
      <c r="BD26" s="303"/>
      <c r="BE26" s="304"/>
      <c r="BF26" s="304"/>
      <c r="BG26" s="303"/>
      <c r="BH26" s="303"/>
      <c r="BI26" s="304"/>
      <c r="BJ26" s="304"/>
      <c r="BK26" s="303"/>
      <c r="BL26" s="303"/>
      <c r="BM26" s="304"/>
      <c r="BN26" s="304"/>
      <c r="BO26" s="303"/>
      <c r="BP26" s="303"/>
      <c r="BQ26" s="304"/>
      <c r="BR26" s="304"/>
      <c r="BS26" s="303"/>
      <c r="BT26" s="303"/>
      <c r="BU26" s="304"/>
      <c r="BV26" s="304">
        <v>8.2116243357170813</v>
      </c>
      <c r="BW26" s="303"/>
      <c r="BX26" s="303">
        <v>4.4703530536239207</v>
      </c>
      <c r="BY26" s="304"/>
      <c r="BZ26" s="304">
        <v>3.8374531932390967</v>
      </c>
      <c r="CA26" s="303"/>
      <c r="CB26" s="303">
        <v>30.909830584621428</v>
      </c>
      <c r="CC26" s="304"/>
      <c r="CD26" s="304">
        <v>33.628033732891609</v>
      </c>
      <c r="CE26" s="303"/>
      <c r="CF26" s="303">
        <v>33.143802445599853</v>
      </c>
      <c r="CG26" s="304"/>
      <c r="CH26" s="304">
        <v>36.289322790477868</v>
      </c>
      <c r="CI26" s="303"/>
      <c r="CJ26" s="303">
        <v>85.195561624871772</v>
      </c>
      <c r="CK26" s="304"/>
      <c r="CL26" s="304">
        <v>123.95681109092169</v>
      </c>
      <c r="CM26" s="303"/>
      <c r="CN26" s="303">
        <v>185.30413468885328</v>
      </c>
      <c r="CO26" s="304"/>
      <c r="CP26" s="304">
        <v>149.95642957156034</v>
      </c>
      <c r="CQ26" s="303"/>
      <c r="CR26" s="303">
        <v>122.4552199282307</v>
      </c>
      <c r="CS26" s="304"/>
      <c r="CT26" s="304">
        <v>194.29067115581108</v>
      </c>
      <c r="CU26" s="303"/>
      <c r="CV26" s="303">
        <v>293.23748200392697</v>
      </c>
      <c r="CW26" s="304"/>
      <c r="CX26" s="304">
        <v>301.21158445120284</v>
      </c>
      <c r="CY26" s="303"/>
      <c r="CZ26" s="303">
        <v>369.73437705632637</v>
      </c>
      <c r="DA26" s="304"/>
      <c r="DB26" s="304">
        <v>434.04201445626899</v>
      </c>
    </row>
    <row r="27" spans="2:106" ht="14.25" customHeight="1" x14ac:dyDescent="0.25">
      <c r="B27" s="406"/>
      <c r="C27" s="412" t="s">
        <v>720</v>
      </c>
      <c r="D27" s="393"/>
      <c r="E27" s="406"/>
      <c r="F27" s="406"/>
      <c r="G27" s="303"/>
      <c r="H27" s="303"/>
      <c r="I27" s="304"/>
      <c r="J27" s="304"/>
      <c r="K27" s="303"/>
      <c r="L27" s="303"/>
      <c r="M27" s="304"/>
      <c r="N27" s="304"/>
      <c r="O27" s="303"/>
      <c r="P27" s="303"/>
      <c r="Q27" s="304"/>
      <c r="R27" s="304"/>
      <c r="S27" s="303"/>
      <c r="T27" s="303"/>
      <c r="U27" s="304"/>
      <c r="V27" s="304"/>
      <c r="W27" s="303"/>
      <c r="X27" s="303"/>
      <c r="Y27" s="304"/>
      <c r="Z27" s="304"/>
      <c r="AA27" s="303"/>
      <c r="AB27" s="303"/>
      <c r="AC27" s="304"/>
      <c r="AD27" s="304"/>
      <c r="AE27" s="303"/>
      <c r="AF27" s="303"/>
      <c r="AG27" s="304"/>
      <c r="AH27" s="304"/>
      <c r="AI27" s="305"/>
      <c r="AJ27" s="305"/>
      <c r="AK27" s="304"/>
      <c r="AL27" s="304"/>
      <c r="AM27" s="303"/>
      <c r="AN27" s="303"/>
      <c r="AO27" s="304"/>
      <c r="AP27" s="304"/>
      <c r="AQ27" s="303"/>
      <c r="AR27" s="303"/>
      <c r="AS27" s="304"/>
      <c r="AT27" s="304"/>
      <c r="AU27" s="303"/>
      <c r="AV27" s="303"/>
      <c r="AW27" s="304"/>
      <c r="AX27" s="304"/>
      <c r="AY27" s="303"/>
      <c r="AZ27" s="303"/>
      <c r="BA27" s="304"/>
      <c r="BB27" s="304"/>
      <c r="BC27" s="303"/>
      <c r="BD27" s="303"/>
      <c r="BE27" s="304"/>
      <c r="BF27" s="304"/>
      <c r="BG27" s="303"/>
      <c r="BH27" s="303"/>
      <c r="BI27" s="304"/>
      <c r="BJ27" s="304"/>
      <c r="BK27" s="303"/>
      <c r="BL27" s="303"/>
      <c r="BM27" s="304"/>
      <c r="BN27" s="304"/>
      <c r="BO27" s="303"/>
      <c r="BP27" s="303"/>
      <c r="BQ27" s="304"/>
      <c r="BR27" s="304"/>
      <c r="BS27" s="303"/>
      <c r="BT27" s="303"/>
      <c r="BU27" s="304"/>
      <c r="BV27" s="304">
        <v>6232.9215925615945</v>
      </c>
      <c r="BW27" s="303"/>
      <c r="BX27" s="303">
        <v>5402.6950975299997</v>
      </c>
      <c r="BY27" s="304"/>
      <c r="BZ27" s="304">
        <v>3613.7277825900001</v>
      </c>
      <c r="CA27" s="303"/>
      <c r="CB27" s="303">
        <v>2814.7497757400006</v>
      </c>
      <c r="CC27" s="304"/>
      <c r="CD27" s="304">
        <v>3315.2927088999995</v>
      </c>
      <c r="CE27" s="303"/>
      <c r="CF27" s="303">
        <v>3943.3096051150001</v>
      </c>
      <c r="CG27" s="304"/>
      <c r="CH27" s="304">
        <v>4886.4470268300001</v>
      </c>
      <c r="CI27" s="303"/>
      <c r="CJ27" s="303">
        <v>5128.0050995999991</v>
      </c>
      <c r="CK27" s="304"/>
      <c r="CL27" s="304">
        <v>5516.7593727000003</v>
      </c>
      <c r="CM27" s="303"/>
      <c r="CN27" s="303">
        <v>6414.1845689199999</v>
      </c>
      <c r="CO27" s="304"/>
      <c r="CP27" s="304">
        <v>6326.3408084899993</v>
      </c>
      <c r="CQ27" s="303"/>
      <c r="CR27" s="303">
        <v>6033.2833946600003</v>
      </c>
      <c r="CS27" s="304"/>
      <c r="CT27" s="304">
        <v>9316.2713593000008</v>
      </c>
      <c r="CU27" s="303"/>
      <c r="CV27" s="303">
        <v>7135.1854797327906</v>
      </c>
      <c r="CW27" s="304"/>
      <c r="CX27" s="304">
        <v>7015.2866863807594</v>
      </c>
      <c r="CY27" s="303"/>
      <c r="CZ27" s="303">
        <v>7467.3956355318696</v>
      </c>
      <c r="DA27" s="304"/>
      <c r="DB27" s="304">
        <v>7573.6443788903007</v>
      </c>
    </row>
    <row r="28" spans="2:106" ht="14.25" customHeight="1" x14ac:dyDescent="0.25">
      <c r="B28" s="393"/>
      <c r="C28" s="412" t="s">
        <v>721</v>
      </c>
      <c r="D28" s="393"/>
      <c r="E28" s="393"/>
      <c r="F28" s="393"/>
      <c r="G28" s="407"/>
      <c r="H28" s="407"/>
      <c r="I28" s="408"/>
      <c r="J28" s="408"/>
      <c r="K28" s="407"/>
      <c r="L28" s="407"/>
      <c r="M28" s="408"/>
      <c r="N28" s="408"/>
      <c r="O28" s="407"/>
      <c r="P28" s="407"/>
      <c r="Q28" s="408"/>
      <c r="R28" s="408"/>
      <c r="S28" s="407"/>
      <c r="T28" s="407"/>
      <c r="U28" s="408"/>
      <c r="V28" s="408"/>
      <c r="W28" s="407"/>
      <c r="X28" s="407"/>
      <c r="Y28" s="408"/>
      <c r="Z28" s="408"/>
      <c r="AA28" s="407"/>
      <c r="AB28" s="407"/>
      <c r="AC28" s="408"/>
      <c r="AD28" s="408"/>
      <c r="AE28" s="407"/>
      <c r="AF28" s="407"/>
      <c r="AG28" s="408"/>
      <c r="AH28" s="408"/>
      <c r="AI28" s="409"/>
      <c r="AJ28" s="409"/>
      <c r="AK28" s="408"/>
      <c r="AL28" s="408"/>
      <c r="AM28" s="407"/>
      <c r="AN28" s="407"/>
      <c r="AO28" s="408"/>
      <c r="AP28" s="408"/>
      <c r="AQ28" s="407"/>
      <c r="AR28" s="407"/>
      <c r="AS28" s="408"/>
      <c r="AT28" s="408"/>
      <c r="AU28" s="407"/>
      <c r="AV28" s="407"/>
      <c r="AW28" s="408"/>
      <c r="AX28" s="408"/>
      <c r="AY28" s="407"/>
      <c r="AZ28" s="407"/>
      <c r="BA28" s="408"/>
      <c r="BB28" s="408"/>
      <c r="BC28" s="407"/>
      <c r="BD28" s="407"/>
      <c r="BE28" s="408"/>
      <c r="BF28" s="408"/>
      <c r="BG28" s="407"/>
      <c r="BH28" s="407"/>
      <c r="BI28" s="408"/>
      <c r="BJ28" s="408"/>
      <c r="BK28" s="407"/>
      <c r="BL28" s="407"/>
      <c r="BM28" s="408"/>
      <c r="BN28" s="408"/>
      <c r="BO28" s="407"/>
      <c r="BP28" s="407"/>
      <c r="BQ28" s="408"/>
      <c r="BR28" s="408"/>
      <c r="BS28" s="407"/>
      <c r="BT28" s="407"/>
      <c r="BU28" s="408"/>
      <c r="BV28" s="408">
        <v>0</v>
      </c>
      <c r="BW28" s="407"/>
      <c r="BX28" s="407">
        <v>0</v>
      </c>
      <c r="BY28" s="408"/>
      <c r="BZ28" s="408">
        <v>187.00580324999999</v>
      </c>
      <c r="CA28" s="407"/>
      <c r="CB28" s="407">
        <v>363.52610712499995</v>
      </c>
      <c r="CC28" s="408"/>
      <c r="CD28" s="408">
        <v>550.53191037500005</v>
      </c>
      <c r="CE28" s="407"/>
      <c r="CF28" s="407">
        <v>727.05221425000013</v>
      </c>
      <c r="CG28" s="408"/>
      <c r="CH28" s="408">
        <v>914.05801750000023</v>
      </c>
      <c r="CI28" s="407"/>
      <c r="CJ28" s="407">
        <v>1090.5783213750003</v>
      </c>
      <c r="CK28" s="408"/>
      <c r="CL28" s="408">
        <v>1277.5841246250004</v>
      </c>
      <c r="CM28" s="407"/>
      <c r="CN28" s="407">
        <v>1454.2414285000004</v>
      </c>
      <c r="CO28" s="408"/>
      <c r="CP28" s="408">
        <v>1661.3069285000004</v>
      </c>
      <c r="CQ28" s="407"/>
      <c r="CR28" s="407">
        <v>1838.5111530000004</v>
      </c>
      <c r="CS28" s="408"/>
      <c r="CT28" s="408">
        <v>0</v>
      </c>
      <c r="CU28" s="407"/>
      <c r="CV28" s="407">
        <v>0</v>
      </c>
      <c r="CW28" s="408"/>
      <c r="CX28" s="408">
        <v>0</v>
      </c>
      <c r="CY28" s="407"/>
      <c r="CZ28" s="407">
        <v>0</v>
      </c>
      <c r="DA28" s="408"/>
      <c r="DB28" s="408">
        <v>0</v>
      </c>
    </row>
    <row r="29" spans="2:106" ht="14.25" customHeight="1" x14ac:dyDescent="0.25">
      <c r="B29" s="393" t="s">
        <v>711</v>
      </c>
      <c r="C29" s="393"/>
      <c r="D29" s="393"/>
      <c r="E29" s="393"/>
      <c r="F29" s="393"/>
      <c r="G29" s="407"/>
      <c r="H29" s="407"/>
      <c r="I29" s="408"/>
      <c r="J29" s="408"/>
      <c r="K29" s="407"/>
      <c r="L29" s="407">
        <v>0</v>
      </c>
      <c r="M29" s="408"/>
      <c r="N29" s="408">
        <v>175.99856944249998</v>
      </c>
      <c r="O29" s="407"/>
      <c r="P29" s="407">
        <v>176.7913194425</v>
      </c>
      <c r="Q29" s="408"/>
      <c r="R29" s="408">
        <v>174.02836149999999</v>
      </c>
      <c r="S29" s="407"/>
      <c r="T29" s="407">
        <v>175.2600694425</v>
      </c>
      <c r="U29" s="408"/>
      <c r="V29" s="408">
        <v>172.0663194425</v>
      </c>
      <c r="W29" s="407"/>
      <c r="X29" s="407">
        <v>172.86256944249999</v>
      </c>
      <c r="Y29" s="408"/>
      <c r="Z29" s="408">
        <v>164.487361115</v>
      </c>
      <c r="AA29" s="407"/>
      <c r="AB29" s="407">
        <v>168.39909723</v>
      </c>
      <c r="AC29" s="408"/>
      <c r="AD29" s="408">
        <v>172.385111115</v>
      </c>
      <c r="AE29" s="407"/>
      <c r="AF29" s="407">
        <v>179.38034723000001</v>
      </c>
      <c r="AG29" s="408"/>
      <c r="AH29" s="408">
        <v>172.18784722999999</v>
      </c>
      <c r="AI29" s="409"/>
      <c r="AJ29" s="409">
        <v>177.49909723000002</v>
      </c>
      <c r="AK29" s="408"/>
      <c r="AL29" s="408">
        <v>178.049861115</v>
      </c>
      <c r="AM29" s="407"/>
      <c r="AN29" s="407">
        <v>179.71683332749998</v>
      </c>
      <c r="AO29" s="408"/>
      <c r="AP29" s="408">
        <v>176.82408332750001</v>
      </c>
      <c r="AQ29" s="407"/>
      <c r="AR29" s="407">
        <v>177.63472223000002</v>
      </c>
      <c r="AS29" s="408"/>
      <c r="AT29" s="408">
        <v>173.6872083275</v>
      </c>
      <c r="AU29" s="407"/>
      <c r="AV29" s="407">
        <v>176.18931944249999</v>
      </c>
      <c r="AW29" s="408"/>
      <c r="AX29" s="408">
        <v>170.5153333275</v>
      </c>
      <c r="AY29" s="407"/>
      <c r="AZ29" s="407">
        <v>177.03544444249999</v>
      </c>
      <c r="BA29" s="408"/>
      <c r="BB29" s="408">
        <v>176.3319444425</v>
      </c>
      <c r="BC29" s="407"/>
      <c r="BD29" s="407">
        <v>177.98919444250001</v>
      </c>
      <c r="BE29" s="408"/>
      <c r="BF29" s="408">
        <v>173.84859723000002</v>
      </c>
      <c r="BG29" s="407"/>
      <c r="BH29" s="407">
        <v>123.61319444250002</v>
      </c>
      <c r="BI29" s="408"/>
      <c r="BJ29" s="408">
        <v>128.6444444425</v>
      </c>
      <c r="BK29" s="407"/>
      <c r="BL29" s="407">
        <v>124.70694444250002</v>
      </c>
      <c r="BM29" s="408"/>
      <c r="BN29" s="408">
        <v>95.71527777</v>
      </c>
      <c r="BO29" s="407"/>
      <c r="BP29" s="407">
        <v>106.24930555750001</v>
      </c>
      <c r="BQ29" s="408"/>
      <c r="BR29" s="408">
        <v>118.36319444250002</v>
      </c>
      <c r="BS29" s="407"/>
      <c r="BT29" s="407">
        <v>110.857638885</v>
      </c>
      <c r="BU29" s="408"/>
      <c r="BV29" s="408">
        <v>93.795138885</v>
      </c>
      <c r="BW29" s="407"/>
      <c r="BX29" s="407">
        <v>85.482638885</v>
      </c>
      <c r="BY29" s="408"/>
      <c r="BZ29" s="408">
        <v>85.701388885</v>
      </c>
      <c r="CA29" s="407"/>
      <c r="CB29" s="407">
        <v>104.513888885</v>
      </c>
      <c r="CC29" s="408"/>
      <c r="CD29" s="408">
        <v>77.65625</v>
      </c>
      <c r="CE29" s="407"/>
      <c r="CF29" s="407">
        <v>102.375</v>
      </c>
      <c r="CG29" s="408"/>
      <c r="CH29" s="408">
        <v>107.401875</v>
      </c>
      <c r="CI29" s="407"/>
      <c r="CJ29" s="407">
        <v>111.339375</v>
      </c>
      <c r="CK29" s="408"/>
      <c r="CL29" s="408">
        <v>132.12375312500001</v>
      </c>
      <c r="CM29" s="407"/>
      <c r="CN29" s="407">
        <v>143.71750312500001</v>
      </c>
      <c r="CO29" s="408"/>
      <c r="CP29" s="408">
        <v>150.064643859375</v>
      </c>
      <c r="CQ29" s="407"/>
      <c r="CR29" s="407">
        <v>150.064643859375</v>
      </c>
      <c r="CS29" s="408"/>
      <c r="CT29" s="408">
        <v>156.41179378507812</v>
      </c>
      <c r="CU29" s="407"/>
      <c r="CV29" s="407">
        <v>156.41179378507812</v>
      </c>
      <c r="CW29" s="408"/>
      <c r="CX29" s="408">
        <v>162.53679378507812</v>
      </c>
      <c r="CY29" s="407"/>
      <c r="CZ29" s="407">
        <v>162.53679378507812</v>
      </c>
      <c r="DA29" s="408"/>
      <c r="DB29" s="408">
        <v>168.66179378507812</v>
      </c>
    </row>
    <row r="30" spans="2:106" ht="14.25" customHeight="1" x14ac:dyDescent="0.25">
      <c r="B30" s="406" t="s">
        <v>716</v>
      </c>
      <c r="C30" s="393"/>
      <c r="D30" s="393"/>
      <c r="E30" s="406"/>
      <c r="F30" s="393"/>
      <c r="G30" s="407"/>
      <c r="H30" s="407"/>
      <c r="I30" s="408"/>
      <c r="J30" s="408"/>
      <c r="K30" s="407"/>
      <c r="L30" s="407">
        <v>0</v>
      </c>
      <c r="M30" s="408"/>
      <c r="N30" s="408">
        <v>0</v>
      </c>
      <c r="O30" s="407"/>
      <c r="P30" s="407">
        <v>0</v>
      </c>
      <c r="Q30" s="408"/>
      <c r="R30" s="408"/>
      <c r="S30" s="407"/>
      <c r="T30" s="407"/>
      <c r="U30" s="408"/>
      <c r="V30" s="408"/>
      <c r="W30" s="407"/>
      <c r="X30" s="407"/>
      <c r="Y30" s="408"/>
      <c r="Z30" s="408"/>
      <c r="AA30" s="407"/>
      <c r="AB30" s="407"/>
      <c r="AC30" s="408"/>
      <c r="AD30" s="408"/>
      <c r="AE30" s="407"/>
      <c r="AF30" s="407"/>
      <c r="AG30" s="408"/>
      <c r="AH30" s="408"/>
      <c r="AI30" s="409"/>
      <c r="AJ30" s="409"/>
      <c r="AK30" s="408"/>
      <c r="AL30" s="408"/>
      <c r="AM30" s="407"/>
      <c r="AN30" s="407"/>
      <c r="AO30" s="408"/>
      <c r="AP30" s="408"/>
      <c r="AQ30" s="407"/>
      <c r="AR30" s="407"/>
      <c r="AS30" s="408"/>
      <c r="AT30" s="408"/>
      <c r="AU30" s="407"/>
      <c r="AV30" s="407"/>
      <c r="AW30" s="408"/>
      <c r="AX30" s="408"/>
      <c r="AY30" s="407"/>
      <c r="AZ30" s="407"/>
      <c r="BA30" s="408"/>
      <c r="BB30" s="408"/>
      <c r="BC30" s="407"/>
      <c r="BD30" s="407"/>
      <c r="BE30" s="408"/>
      <c r="BF30" s="408"/>
      <c r="BG30" s="407"/>
      <c r="BH30" s="407"/>
      <c r="BI30" s="408"/>
      <c r="BJ30" s="408"/>
      <c r="BK30" s="407"/>
      <c r="BL30" s="407"/>
      <c r="BM30" s="408"/>
      <c r="BN30" s="408"/>
      <c r="BO30" s="407"/>
      <c r="BP30" s="407"/>
      <c r="BQ30" s="408"/>
      <c r="BR30" s="408"/>
      <c r="BS30" s="407"/>
      <c r="BT30" s="407"/>
      <c r="BU30" s="408"/>
      <c r="BV30" s="408"/>
      <c r="BW30" s="407"/>
      <c r="BX30" s="407"/>
      <c r="BY30" s="408"/>
      <c r="BZ30" s="408"/>
      <c r="CA30" s="407"/>
      <c r="CB30" s="407"/>
      <c r="CC30" s="408"/>
      <c r="CD30" s="408"/>
      <c r="CE30" s="407"/>
      <c r="CF30" s="407"/>
      <c r="CG30" s="408"/>
      <c r="CH30" s="408"/>
      <c r="CI30" s="407"/>
      <c r="CJ30" s="407"/>
      <c r="CK30" s="408"/>
      <c r="CL30" s="408"/>
      <c r="CM30" s="407"/>
      <c r="CN30" s="407"/>
      <c r="CO30" s="408"/>
      <c r="CP30" s="408"/>
      <c r="CQ30" s="407"/>
      <c r="CR30" s="407"/>
      <c r="CS30" s="408"/>
      <c r="CT30" s="408"/>
      <c r="CU30" s="407"/>
      <c r="CV30" s="407"/>
      <c r="CW30" s="408"/>
      <c r="CX30" s="408"/>
      <c r="CY30" s="407"/>
      <c r="CZ30" s="407"/>
      <c r="DA30" s="408"/>
      <c r="DB30" s="408"/>
    </row>
    <row r="31" spans="2:106" ht="14.25" customHeight="1" x14ac:dyDescent="0.25">
      <c r="B31" s="406" t="s">
        <v>717</v>
      </c>
      <c r="C31" s="393"/>
      <c r="D31" s="393"/>
      <c r="E31" s="406"/>
      <c r="F31" s="393"/>
      <c r="G31" s="407"/>
      <c r="H31" s="407"/>
      <c r="I31" s="408"/>
      <c r="J31" s="408"/>
      <c r="K31" s="407"/>
      <c r="L31" s="407">
        <v>0</v>
      </c>
      <c r="M31" s="408"/>
      <c r="N31" s="408">
        <v>175.99856944249998</v>
      </c>
      <c r="O31" s="407"/>
      <c r="P31" s="407">
        <v>176.7913194425</v>
      </c>
      <c r="Q31" s="408"/>
      <c r="R31" s="408">
        <v>174.02836149999999</v>
      </c>
      <c r="S31" s="407"/>
      <c r="T31" s="407">
        <v>175.2600694425</v>
      </c>
      <c r="U31" s="408"/>
      <c r="V31" s="408">
        <v>172.0663194425</v>
      </c>
      <c r="W31" s="407"/>
      <c r="X31" s="407">
        <v>172.86256944249999</v>
      </c>
      <c r="Y31" s="408"/>
      <c r="Z31" s="408">
        <v>164.487361115</v>
      </c>
      <c r="AA31" s="407"/>
      <c r="AB31" s="407">
        <v>168.39909723</v>
      </c>
      <c r="AC31" s="408"/>
      <c r="AD31" s="408">
        <v>172.385111115</v>
      </c>
      <c r="AE31" s="407"/>
      <c r="AF31" s="407">
        <v>179.38034723000001</v>
      </c>
      <c r="AG31" s="408"/>
      <c r="AH31" s="408">
        <v>172.18784722999999</v>
      </c>
      <c r="AI31" s="409"/>
      <c r="AJ31" s="409">
        <v>177.49909723000002</v>
      </c>
      <c r="AK31" s="408"/>
      <c r="AL31" s="408">
        <v>178.049861115</v>
      </c>
      <c r="AM31" s="407"/>
      <c r="AN31" s="407">
        <v>179.71683332749998</v>
      </c>
      <c r="AO31" s="408"/>
      <c r="AP31" s="408">
        <v>176.82408332750001</v>
      </c>
      <c r="AQ31" s="407"/>
      <c r="AR31" s="407">
        <v>177.63472223000002</v>
      </c>
      <c r="AS31" s="408"/>
      <c r="AT31" s="408">
        <v>173.6872083275</v>
      </c>
      <c r="AU31" s="407"/>
      <c r="AV31" s="407">
        <v>176.18931944249999</v>
      </c>
      <c r="AW31" s="408"/>
      <c r="AX31" s="408">
        <v>170.5153333275</v>
      </c>
      <c r="AY31" s="407"/>
      <c r="AZ31" s="407">
        <v>177.03544444249999</v>
      </c>
      <c r="BA31" s="408"/>
      <c r="BB31" s="408">
        <v>176.3319444425</v>
      </c>
      <c r="BC31" s="407"/>
      <c r="BD31" s="407">
        <v>177.98919444250001</v>
      </c>
      <c r="BE31" s="408"/>
      <c r="BF31" s="408">
        <v>173.84859723000002</v>
      </c>
      <c r="BG31" s="407"/>
      <c r="BH31" s="407">
        <v>123.61319444250002</v>
      </c>
      <c r="BI31" s="408"/>
      <c r="BJ31" s="408">
        <v>128.6444444425</v>
      </c>
      <c r="BK31" s="407"/>
      <c r="BL31" s="407">
        <v>124.70694444250002</v>
      </c>
      <c r="BM31" s="408"/>
      <c r="BN31" s="408">
        <v>95.71527777</v>
      </c>
      <c r="BO31" s="407"/>
      <c r="BP31" s="407">
        <v>106.24930555750001</v>
      </c>
      <c r="BQ31" s="408"/>
      <c r="BR31" s="408">
        <v>118.36319444250002</v>
      </c>
      <c r="BS31" s="407"/>
      <c r="BT31" s="407">
        <v>110.857638885</v>
      </c>
      <c r="BU31" s="408"/>
      <c r="BV31" s="408">
        <v>93.795138885</v>
      </c>
      <c r="BW31" s="407"/>
      <c r="BX31" s="407">
        <v>85.482638885</v>
      </c>
      <c r="BY31" s="408"/>
      <c r="BZ31" s="408">
        <v>85.701388885</v>
      </c>
      <c r="CA31" s="407"/>
      <c r="CB31" s="407">
        <v>104.513888885</v>
      </c>
      <c r="CC31" s="408"/>
      <c r="CD31" s="408">
        <v>77.65625</v>
      </c>
      <c r="CE31" s="407"/>
      <c r="CF31" s="407">
        <v>102.375</v>
      </c>
      <c r="CG31" s="408"/>
      <c r="CH31" s="408">
        <v>107.401875</v>
      </c>
      <c r="CI31" s="407"/>
      <c r="CJ31" s="407">
        <v>111.339375</v>
      </c>
      <c r="CK31" s="408"/>
      <c r="CL31" s="408">
        <v>132.12375312500001</v>
      </c>
      <c r="CM31" s="407"/>
      <c r="CN31" s="407">
        <v>143.71750312500001</v>
      </c>
      <c r="CO31" s="408"/>
      <c r="CP31" s="408">
        <v>150.064643859375</v>
      </c>
      <c r="CQ31" s="407"/>
      <c r="CR31" s="407">
        <v>150.064643859375</v>
      </c>
      <c r="CS31" s="408"/>
      <c r="CT31" s="408">
        <v>156.41179378507812</v>
      </c>
      <c r="CU31" s="407"/>
      <c r="CV31" s="407">
        <v>156.41179378507812</v>
      </c>
      <c r="CW31" s="408"/>
      <c r="CX31" s="408">
        <v>162.53679378507812</v>
      </c>
      <c r="CY31" s="407"/>
      <c r="CZ31" s="407">
        <v>162.53679378507812</v>
      </c>
      <c r="DA31" s="408"/>
      <c r="DB31" s="408">
        <v>168.66179378507812</v>
      </c>
    </row>
    <row r="32" spans="2:106" ht="14.25" customHeight="1" x14ac:dyDescent="0.25">
      <c r="B32" s="406"/>
      <c r="C32" s="413" t="s">
        <v>722</v>
      </c>
      <c r="D32" s="393"/>
      <c r="E32" s="406"/>
      <c r="F32" s="393"/>
      <c r="G32" s="407"/>
      <c r="H32" s="407"/>
      <c r="I32" s="408"/>
      <c r="J32" s="408"/>
      <c r="K32" s="407"/>
      <c r="L32" s="407"/>
      <c r="M32" s="408"/>
      <c r="N32" s="408"/>
      <c r="O32" s="407"/>
      <c r="P32" s="407"/>
      <c r="Q32" s="408"/>
      <c r="R32" s="408"/>
      <c r="S32" s="407"/>
      <c r="T32" s="407"/>
      <c r="U32" s="408"/>
      <c r="V32" s="408"/>
      <c r="W32" s="407"/>
      <c r="X32" s="407"/>
      <c r="Y32" s="408"/>
      <c r="Z32" s="408"/>
      <c r="AA32" s="407"/>
      <c r="AB32" s="407"/>
      <c r="AC32" s="408"/>
      <c r="AD32" s="408"/>
      <c r="AE32" s="407"/>
      <c r="AF32" s="407"/>
      <c r="AG32" s="408"/>
      <c r="AH32" s="408"/>
      <c r="AI32" s="409"/>
      <c r="AJ32" s="409"/>
      <c r="AK32" s="408"/>
      <c r="AL32" s="408"/>
      <c r="AM32" s="407"/>
      <c r="AN32" s="407"/>
      <c r="AO32" s="408"/>
      <c r="AP32" s="408"/>
      <c r="AQ32" s="407"/>
      <c r="AR32" s="407"/>
      <c r="AS32" s="408"/>
      <c r="AT32" s="408"/>
      <c r="AU32" s="407"/>
      <c r="AV32" s="407"/>
      <c r="AW32" s="408"/>
      <c r="AX32" s="408"/>
      <c r="AY32" s="407"/>
      <c r="AZ32" s="407"/>
      <c r="BA32" s="408"/>
      <c r="BB32" s="408"/>
      <c r="BC32" s="407"/>
      <c r="BD32" s="407"/>
      <c r="BE32" s="408"/>
      <c r="BF32" s="408"/>
      <c r="BG32" s="407"/>
      <c r="BH32" s="407"/>
      <c r="BI32" s="408"/>
      <c r="BJ32" s="408"/>
      <c r="BK32" s="407"/>
      <c r="BL32" s="407"/>
      <c r="BM32" s="408"/>
      <c r="BN32" s="408"/>
      <c r="BO32" s="407"/>
      <c r="BP32" s="407"/>
      <c r="BQ32" s="408"/>
      <c r="BR32" s="408"/>
      <c r="BS32" s="407"/>
      <c r="BT32" s="407"/>
      <c r="BU32" s="408"/>
      <c r="BV32" s="408"/>
      <c r="BW32" s="407"/>
      <c r="BX32" s="407">
        <v>85.482638885</v>
      </c>
      <c r="BY32" s="408"/>
      <c r="BZ32" s="408">
        <v>85.701388885</v>
      </c>
      <c r="CA32" s="407"/>
      <c r="CB32" s="407">
        <v>104.513888885</v>
      </c>
      <c r="CC32" s="408"/>
      <c r="CD32" s="408">
        <v>71.53125</v>
      </c>
      <c r="CE32" s="407"/>
      <c r="CF32" s="407">
        <v>96.25</v>
      </c>
      <c r="CG32" s="408"/>
      <c r="CH32" s="408">
        <v>94.9375</v>
      </c>
      <c r="CI32" s="407"/>
      <c r="CJ32" s="407">
        <v>98.875</v>
      </c>
      <c r="CK32" s="408"/>
      <c r="CL32" s="408">
        <v>113.3125</v>
      </c>
      <c r="CM32" s="407"/>
      <c r="CN32" s="407">
        <v>124.90625</v>
      </c>
      <c r="CO32" s="408"/>
      <c r="CP32" s="408">
        <v>124.90625</v>
      </c>
      <c r="CQ32" s="407"/>
      <c r="CR32" s="407">
        <v>124.90625</v>
      </c>
      <c r="CS32" s="408"/>
      <c r="CT32" s="408">
        <v>124.90625</v>
      </c>
      <c r="CU32" s="407"/>
      <c r="CV32" s="407">
        <v>124.90625</v>
      </c>
      <c r="CW32" s="408"/>
      <c r="CX32" s="408">
        <v>124.90625</v>
      </c>
      <c r="CY32" s="407"/>
      <c r="CZ32" s="407">
        <v>124.90625</v>
      </c>
      <c r="DA32" s="408"/>
      <c r="DB32" s="408">
        <v>124.90625</v>
      </c>
    </row>
    <row r="33" spans="2:106" ht="14.25" customHeight="1" x14ac:dyDescent="0.25">
      <c r="B33" s="393"/>
      <c r="C33" s="413" t="s">
        <v>723</v>
      </c>
      <c r="D33" s="393"/>
      <c r="E33" s="393"/>
      <c r="F33" s="393"/>
      <c r="G33" s="407"/>
      <c r="H33" s="407"/>
      <c r="I33" s="408"/>
      <c r="J33" s="408"/>
      <c r="K33" s="407"/>
      <c r="L33" s="407"/>
      <c r="M33" s="408"/>
      <c r="N33" s="408"/>
      <c r="O33" s="407"/>
      <c r="P33" s="407"/>
      <c r="Q33" s="408"/>
      <c r="R33" s="408"/>
      <c r="S33" s="407"/>
      <c r="T33" s="407"/>
      <c r="U33" s="408"/>
      <c r="V33" s="408"/>
      <c r="W33" s="407"/>
      <c r="X33" s="407"/>
      <c r="Y33" s="408"/>
      <c r="Z33" s="408"/>
      <c r="AA33" s="407"/>
      <c r="AB33" s="407"/>
      <c r="AC33" s="408"/>
      <c r="AD33" s="408"/>
      <c r="AE33" s="407"/>
      <c r="AF33" s="407"/>
      <c r="AG33" s="408"/>
      <c r="AH33" s="408"/>
      <c r="AI33" s="409"/>
      <c r="AJ33" s="409"/>
      <c r="AK33" s="408"/>
      <c r="AL33" s="408"/>
      <c r="AM33" s="407"/>
      <c r="AN33" s="407"/>
      <c r="AO33" s="408"/>
      <c r="AP33" s="408"/>
      <c r="AQ33" s="407"/>
      <c r="AR33" s="407"/>
      <c r="AS33" s="408"/>
      <c r="AT33" s="408"/>
      <c r="AU33" s="407"/>
      <c r="AV33" s="407"/>
      <c r="AW33" s="408"/>
      <c r="AX33" s="408"/>
      <c r="AY33" s="407"/>
      <c r="AZ33" s="407"/>
      <c r="BA33" s="408"/>
      <c r="BB33" s="408"/>
      <c r="BC33" s="407"/>
      <c r="BD33" s="407"/>
      <c r="BE33" s="408"/>
      <c r="BF33" s="408"/>
      <c r="BG33" s="407"/>
      <c r="BH33" s="407"/>
      <c r="BI33" s="408"/>
      <c r="BJ33" s="408"/>
      <c r="BK33" s="407"/>
      <c r="BL33" s="407"/>
      <c r="BM33" s="408"/>
      <c r="BN33" s="408"/>
      <c r="BO33" s="407"/>
      <c r="BP33" s="407"/>
      <c r="BQ33" s="408"/>
      <c r="BR33" s="408"/>
      <c r="BS33" s="407"/>
      <c r="BT33" s="407"/>
      <c r="BU33" s="408"/>
      <c r="BV33" s="408"/>
      <c r="BW33" s="407"/>
      <c r="BX33" s="407">
        <v>0</v>
      </c>
      <c r="BY33" s="408"/>
      <c r="BZ33" s="408">
        <v>0</v>
      </c>
      <c r="CA33" s="407"/>
      <c r="CB33" s="407">
        <v>0</v>
      </c>
      <c r="CC33" s="408"/>
      <c r="CD33" s="408">
        <v>6.125</v>
      </c>
      <c r="CE33" s="407"/>
      <c r="CF33" s="407">
        <v>6.125</v>
      </c>
      <c r="CG33" s="408"/>
      <c r="CH33" s="408">
        <v>12.464375</v>
      </c>
      <c r="CI33" s="407"/>
      <c r="CJ33" s="407">
        <v>12.464375</v>
      </c>
      <c r="CK33" s="408"/>
      <c r="CL33" s="408">
        <v>18.811253125</v>
      </c>
      <c r="CM33" s="407"/>
      <c r="CN33" s="407">
        <v>18.811253125</v>
      </c>
      <c r="CO33" s="408"/>
      <c r="CP33" s="408">
        <v>25.158393859375</v>
      </c>
      <c r="CQ33" s="407"/>
      <c r="CR33" s="407">
        <v>25.158393859375</v>
      </c>
      <c r="CS33" s="408"/>
      <c r="CT33" s="408">
        <v>31.505543785078125</v>
      </c>
      <c r="CU33" s="407"/>
      <c r="CV33" s="407">
        <v>31.505543785078125</v>
      </c>
      <c r="CW33" s="408"/>
      <c r="CX33" s="408">
        <v>37.630543785078125</v>
      </c>
      <c r="CY33" s="407"/>
      <c r="CZ33" s="407">
        <v>37.630543785078125</v>
      </c>
      <c r="DA33" s="408"/>
      <c r="DB33" s="408">
        <v>43.755543785078125</v>
      </c>
    </row>
    <row r="34" spans="2:106" ht="14.25" customHeight="1" x14ac:dyDescent="0.25">
      <c r="B34" s="405" t="s">
        <v>610</v>
      </c>
      <c r="C34" s="393"/>
      <c r="D34" s="393"/>
      <c r="E34" s="405"/>
      <c r="F34" s="405"/>
      <c r="G34" s="414">
        <v>0</v>
      </c>
      <c r="H34" s="414">
        <v>0</v>
      </c>
      <c r="I34" s="415">
        <v>0</v>
      </c>
      <c r="J34" s="415">
        <v>0</v>
      </c>
      <c r="K34" s="414">
        <v>0</v>
      </c>
      <c r="L34" s="414">
        <v>0</v>
      </c>
      <c r="M34" s="415">
        <v>0</v>
      </c>
      <c r="N34" s="415">
        <v>0</v>
      </c>
      <c r="O34" s="414">
        <v>0</v>
      </c>
      <c r="P34" s="414">
        <v>0</v>
      </c>
      <c r="Q34" s="415">
        <v>0</v>
      </c>
      <c r="R34" s="415">
        <v>0</v>
      </c>
      <c r="S34" s="414">
        <v>0</v>
      </c>
      <c r="T34" s="414">
        <v>0</v>
      </c>
      <c r="U34" s="415">
        <v>0</v>
      </c>
      <c r="V34" s="415">
        <v>0</v>
      </c>
      <c r="W34" s="414">
        <v>0</v>
      </c>
      <c r="X34" s="414">
        <v>0</v>
      </c>
      <c r="Y34" s="415">
        <v>0</v>
      </c>
      <c r="Z34" s="415">
        <v>0</v>
      </c>
      <c r="AA34" s="414"/>
      <c r="AB34" s="414"/>
      <c r="AC34" s="415"/>
      <c r="AD34" s="415"/>
      <c r="AE34" s="414"/>
      <c r="AF34" s="414"/>
      <c r="AG34" s="415"/>
      <c r="AH34" s="415"/>
      <c r="AI34" s="416"/>
      <c r="AJ34" s="416"/>
      <c r="AK34" s="415"/>
      <c r="AL34" s="415"/>
      <c r="AM34" s="414"/>
      <c r="AN34" s="414"/>
      <c r="AO34" s="415"/>
      <c r="AP34" s="415"/>
      <c r="AQ34" s="414"/>
      <c r="AR34" s="414"/>
      <c r="AS34" s="415"/>
      <c r="AT34" s="415"/>
      <c r="AU34" s="414"/>
      <c r="AV34" s="414"/>
      <c r="AW34" s="415"/>
      <c r="AX34" s="415"/>
      <c r="AY34" s="414"/>
      <c r="AZ34" s="414"/>
      <c r="BA34" s="415"/>
      <c r="BB34" s="415"/>
      <c r="BC34" s="414"/>
      <c r="BD34" s="414"/>
      <c r="BE34" s="415"/>
      <c r="BF34" s="415"/>
      <c r="BG34" s="414"/>
      <c r="BH34" s="414"/>
      <c r="BI34" s="415"/>
      <c r="BJ34" s="415"/>
      <c r="BK34" s="414"/>
      <c r="BL34" s="414"/>
      <c r="BM34" s="415"/>
      <c r="BN34" s="415"/>
      <c r="BO34" s="414"/>
      <c r="BP34" s="414"/>
      <c r="BQ34" s="415"/>
      <c r="BR34" s="415"/>
      <c r="BS34" s="414"/>
      <c r="BT34" s="414"/>
      <c r="BU34" s="415"/>
      <c r="BV34" s="415"/>
      <c r="BW34" s="414"/>
      <c r="BX34" s="414"/>
      <c r="BY34" s="415"/>
      <c r="BZ34" s="415"/>
      <c r="CA34" s="414"/>
      <c r="CB34" s="414"/>
      <c r="CC34" s="415"/>
      <c r="CD34" s="415"/>
      <c r="CE34" s="414"/>
      <c r="CF34" s="414"/>
      <c r="CG34" s="415"/>
      <c r="CH34" s="415"/>
      <c r="CI34" s="414"/>
      <c r="CJ34" s="414"/>
      <c r="CK34" s="415"/>
      <c r="CL34" s="415"/>
      <c r="CM34" s="414"/>
      <c r="CN34" s="414"/>
      <c r="CO34" s="415"/>
      <c r="CP34" s="415"/>
      <c r="CQ34" s="414"/>
      <c r="CR34" s="414"/>
      <c r="CS34" s="415"/>
      <c r="CT34" s="415"/>
      <c r="CU34" s="414"/>
      <c r="CV34" s="414"/>
      <c r="CW34" s="415"/>
      <c r="CX34" s="415"/>
      <c r="CY34" s="414"/>
      <c r="CZ34" s="414"/>
      <c r="DA34" s="415"/>
      <c r="DB34" s="415"/>
    </row>
    <row r="35" spans="2:106" ht="14.25" customHeight="1" x14ac:dyDescent="0.25">
      <c r="B35" s="393"/>
      <c r="C35" s="393"/>
      <c r="D35" s="393"/>
      <c r="E35" s="393"/>
      <c r="F35" s="393"/>
      <c r="G35" s="407"/>
      <c r="H35" s="407"/>
      <c r="I35" s="408"/>
      <c r="J35" s="408"/>
      <c r="K35" s="407"/>
      <c r="L35" s="407"/>
      <c r="M35" s="408"/>
      <c r="N35" s="408"/>
      <c r="O35" s="407"/>
      <c r="P35" s="407"/>
      <c r="Q35" s="408"/>
      <c r="R35" s="408"/>
      <c r="S35" s="407"/>
      <c r="T35" s="407"/>
      <c r="U35" s="408"/>
      <c r="V35" s="408"/>
      <c r="W35" s="407"/>
      <c r="X35" s="407"/>
      <c r="Y35" s="408"/>
      <c r="Z35" s="408"/>
      <c r="AA35" s="407"/>
      <c r="AB35" s="407"/>
      <c r="AC35" s="408"/>
      <c r="AD35" s="408"/>
      <c r="AE35" s="407"/>
      <c r="AF35" s="407"/>
      <c r="AG35" s="408"/>
      <c r="AH35" s="408"/>
      <c r="AI35" s="409"/>
      <c r="AJ35" s="409"/>
      <c r="AK35" s="408"/>
      <c r="AL35" s="408"/>
      <c r="AM35" s="407"/>
      <c r="AN35" s="407"/>
      <c r="AO35" s="408"/>
      <c r="AP35" s="408"/>
      <c r="AQ35" s="407"/>
      <c r="AR35" s="407"/>
      <c r="AS35" s="408"/>
      <c r="AT35" s="408"/>
      <c r="AU35" s="407"/>
      <c r="AV35" s="407"/>
      <c r="AW35" s="408"/>
      <c r="AX35" s="408"/>
      <c r="AY35" s="407"/>
      <c r="AZ35" s="407"/>
      <c r="BA35" s="408"/>
      <c r="BB35" s="408"/>
      <c r="BC35" s="407"/>
      <c r="BD35" s="407"/>
      <c r="BE35" s="408"/>
      <c r="BF35" s="408"/>
      <c r="BG35" s="407"/>
      <c r="BH35" s="407"/>
      <c r="BI35" s="408"/>
      <c r="BJ35" s="408"/>
      <c r="BK35" s="407"/>
      <c r="BL35" s="407"/>
      <c r="BM35" s="408"/>
      <c r="BN35" s="408"/>
      <c r="BO35" s="407"/>
      <c r="BP35" s="407"/>
      <c r="BQ35" s="408"/>
      <c r="BR35" s="408"/>
      <c r="BS35" s="407"/>
      <c r="BT35" s="407"/>
      <c r="BU35" s="408"/>
      <c r="BV35" s="408"/>
      <c r="BW35" s="407"/>
      <c r="BX35" s="407"/>
      <c r="BY35" s="408"/>
      <c r="BZ35" s="408"/>
      <c r="CA35" s="407"/>
      <c r="CB35" s="407"/>
      <c r="CC35" s="408"/>
      <c r="CD35" s="408"/>
      <c r="CE35" s="407"/>
      <c r="CF35" s="407"/>
      <c r="CG35" s="408"/>
      <c r="CH35" s="408"/>
      <c r="CI35" s="407"/>
      <c r="CJ35" s="407"/>
      <c r="CK35" s="408"/>
      <c r="CL35" s="408"/>
      <c r="CM35" s="407"/>
      <c r="CN35" s="407"/>
      <c r="CO35" s="408"/>
      <c r="CP35" s="408"/>
      <c r="CQ35" s="407"/>
      <c r="CR35" s="407"/>
      <c r="CS35" s="408"/>
      <c r="CT35" s="408"/>
      <c r="CU35" s="407"/>
      <c r="CV35" s="407"/>
      <c r="CW35" s="408"/>
      <c r="CX35" s="408"/>
      <c r="CY35" s="407"/>
      <c r="CZ35" s="407"/>
      <c r="DA35" s="408"/>
      <c r="DB35" s="408"/>
    </row>
    <row r="36" spans="2:106" ht="14.25" customHeight="1" x14ac:dyDescent="0.25">
      <c r="B36" s="405" t="s">
        <v>611</v>
      </c>
      <c r="C36" s="393"/>
      <c r="D36" s="393"/>
      <c r="E36" s="405"/>
      <c r="F36" s="405"/>
      <c r="G36" s="298">
        <v>1611.2306564602486</v>
      </c>
      <c r="H36" s="298">
        <v>28272.68373336985</v>
      </c>
      <c r="I36" s="299">
        <v>1420.1781459402844</v>
      </c>
      <c r="J36" s="299">
        <v>29375.746194882471</v>
      </c>
      <c r="K36" s="298">
        <v>1841.7931218255349</v>
      </c>
      <c r="L36" s="298">
        <v>29726.786816473483</v>
      </c>
      <c r="M36" s="299">
        <v>2011.6394331744759</v>
      </c>
      <c r="N36" s="299">
        <v>30330.951711922109</v>
      </c>
      <c r="O36" s="298">
        <v>1938.411345029285</v>
      </c>
      <c r="P36" s="298">
        <v>29667.536376054646</v>
      </c>
      <c r="Q36" s="299">
        <v>2370.3791495700339</v>
      </c>
      <c r="R36" s="299">
        <v>29575.115428041147</v>
      </c>
      <c r="S36" s="298">
        <v>2238.4653731840608</v>
      </c>
      <c r="T36" s="298">
        <v>29609.569925937598</v>
      </c>
      <c r="U36" s="299">
        <v>2213.5723535161819</v>
      </c>
      <c r="V36" s="299">
        <v>30326.543632679226</v>
      </c>
      <c r="W36" s="298">
        <v>2199.4176062553952</v>
      </c>
      <c r="X36" s="298">
        <v>30985.985080182814</v>
      </c>
      <c r="Y36" s="299">
        <v>2613.9587817009779</v>
      </c>
      <c r="Z36" s="299">
        <v>31387.454079213308</v>
      </c>
      <c r="AA36" s="298">
        <v>2682.2615504577107</v>
      </c>
      <c r="AB36" s="298">
        <v>31620.183053625566</v>
      </c>
      <c r="AC36" s="299">
        <v>2674.4737146452289</v>
      </c>
      <c r="AD36" s="299">
        <v>31610.260158069959</v>
      </c>
      <c r="AE36" s="298">
        <v>3260.9306626141829</v>
      </c>
      <c r="AF36" s="298">
        <v>31771.322409115975</v>
      </c>
      <c r="AG36" s="299">
        <v>3027.7946501793549</v>
      </c>
      <c r="AH36" s="299">
        <v>31328.922506853942</v>
      </c>
      <c r="AI36" s="300">
        <v>2841.6322589466072</v>
      </c>
      <c r="AJ36" s="300">
        <v>31510.441362737096</v>
      </c>
      <c r="AK36" s="299">
        <v>3017.480887367888</v>
      </c>
      <c r="AL36" s="299">
        <v>32703.161055771852</v>
      </c>
      <c r="AM36" s="298">
        <v>3216.1579214451294</v>
      </c>
      <c r="AN36" s="298">
        <v>32574.995898821751</v>
      </c>
      <c r="AO36" s="299">
        <v>3370.5529608378602</v>
      </c>
      <c r="AP36" s="299">
        <v>34185.509756022991</v>
      </c>
      <c r="AQ36" s="298">
        <v>3198.6020280139956</v>
      </c>
      <c r="AR36" s="298">
        <v>34467.98817190031</v>
      </c>
      <c r="AS36" s="299">
        <v>3040.1314978525138</v>
      </c>
      <c r="AT36" s="299">
        <v>33871.968567527656</v>
      </c>
      <c r="AU36" s="298">
        <v>3508.3077674742262</v>
      </c>
      <c r="AV36" s="298">
        <v>34123.785328305043</v>
      </c>
      <c r="AW36" s="299">
        <v>3745.7251149693516</v>
      </c>
      <c r="AX36" s="299">
        <v>35197.579930876738</v>
      </c>
      <c r="AY36" s="298">
        <v>3962.8394783723757</v>
      </c>
      <c r="AZ36" s="298">
        <v>34811.835112755325</v>
      </c>
      <c r="BA36" s="299">
        <v>3721.073057476839</v>
      </c>
      <c r="BB36" s="299">
        <v>34585.977279218641</v>
      </c>
      <c r="BC36" s="298">
        <v>3811.94912589249</v>
      </c>
      <c r="BD36" s="298">
        <v>34706.694045798446</v>
      </c>
      <c r="BE36" s="299">
        <v>3845.5733416286257</v>
      </c>
      <c r="BF36" s="299">
        <v>35227.337970619767</v>
      </c>
      <c r="BG36" s="298">
        <v>4179.8160826092144</v>
      </c>
      <c r="BH36" s="298">
        <v>36081.444671981939</v>
      </c>
      <c r="BI36" s="299">
        <v>3787.5746651365262</v>
      </c>
      <c r="BJ36" s="299">
        <v>34953.239772785702</v>
      </c>
      <c r="BK36" s="298">
        <v>3454.0761334694012</v>
      </c>
      <c r="BL36" s="298">
        <v>35394.399523910586</v>
      </c>
      <c r="BM36" s="299">
        <v>3709.7688239983459</v>
      </c>
      <c r="BN36" s="299">
        <v>36339.711208579261</v>
      </c>
      <c r="BO36" s="298">
        <v>3375.2370148999034</v>
      </c>
      <c r="BP36" s="298">
        <v>36354.555022384557</v>
      </c>
      <c r="BQ36" s="299">
        <v>3746.7143056951354</v>
      </c>
      <c r="BR36" s="299">
        <v>37350.081987989273</v>
      </c>
      <c r="BS36" s="298">
        <v>4488.9484616886512</v>
      </c>
      <c r="BT36" s="298">
        <v>39249.257868643981</v>
      </c>
      <c r="BU36" s="299">
        <v>4096.2073881915312</v>
      </c>
      <c r="BV36" s="299">
        <v>40080.823647926634</v>
      </c>
      <c r="BW36" s="298">
        <v>4631.5049147326945</v>
      </c>
      <c r="BX36" s="298">
        <v>40219.675389990749</v>
      </c>
      <c r="BY36" s="299">
        <v>4934.4863186596049</v>
      </c>
      <c r="BZ36" s="299">
        <v>39993.114906430332</v>
      </c>
      <c r="CA36" s="298">
        <v>5548.2943735412337</v>
      </c>
      <c r="CB36" s="298">
        <v>39667.070810965379</v>
      </c>
      <c r="CC36" s="299">
        <v>5398.5519437742551</v>
      </c>
      <c r="CD36" s="299">
        <v>39688.560030395827</v>
      </c>
      <c r="CE36" s="298">
        <v>5537.6438345235083</v>
      </c>
      <c r="CF36" s="298">
        <v>40043.101994943368</v>
      </c>
      <c r="CG36" s="299">
        <v>5648.1151025159479</v>
      </c>
      <c r="CH36" s="299">
        <v>40002.527014265499</v>
      </c>
      <c r="CI36" s="298">
        <v>6606.2327701521608</v>
      </c>
      <c r="CJ36" s="298">
        <v>39784.9134254983</v>
      </c>
      <c r="CK36" s="299">
        <v>6370.2013727515896</v>
      </c>
      <c r="CL36" s="299">
        <v>40832.394722373669</v>
      </c>
      <c r="CM36" s="298">
        <v>6337.102893164114</v>
      </c>
      <c r="CN36" s="298">
        <v>40229.266646678967</v>
      </c>
      <c r="CO36" s="299">
        <v>6435.2563877315906</v>
      </c>
      <c r="CP36" s="299">
        <v>40068.662118056483</v>
      </c>
      <c r="CQ36" s="298">
        <v>6436.1135178496552</v>
      </c>
      <c r="CR36" s="298">
        <v>40772.436175417286</v>
      </c>
      <c r="CS36" s="299">
        <v>6367.2894480880832</v>
      </c>
      <c r="CT36" s="299">
        <v>39049.637795276467</v>
      </c>
      <c r="CU36" s="298">
        <v>7264.6770251886301</v>
      </c>
      <c r="CV36" s="298">
        <v>39660.150101222367</v>
      </c>
      <c r="CW36" s="299">
        <v>6867.7850544005623</v>
      </c>
      <c r="CX36" s="299">
        <v>39344.482224772968</v>
      </c>
      <c r="CY36" s="298">
        <v>7096.3977507575855</v>
      </c>
      <c r="CZ36" s="298">
        <v>38971.949505199911</v>
      </c>
      <c r="DA36" s="299">
        <v>7340.5483932959951</v>
      </c>
      <c r="DB36" s="299">
        <v>39463.543697227629</v>
      </c>
    </row>
    <row r="37" spans="2:106" ht="14.25" customHeight="1" x14ac:dyDescent="0.25">
      <c r="B37" s="393"/>
      <c r="C37" s="393"/>
      <c r="D37" s="393"/>
      <c r="E37" s="393"/>
      <c r="F37" s="393"/>
      <c r="G37" s="417"/>
      <c r="H37" s="417"/>
      <c r="I37" s="418"/>
      <c r="J37" s="418"/>
      <c r="K37" s="417"/>
      <c r="L37" s="417"/>
      <c r="M37" s="418"/>
      <c r="N37" s="418"/>
      <c r="O37" s="417"/>
      <c r="P37" s="417"/>
      <c r="Q37" s="418"/>
      <c r="R37" s="418"/>
      <c r="S37" s="417"/>
      <c r="T37" s="417"/>
      <c r="U37" s="418"/>
      <c r="V37" s="418"/>
      <c r="W37" s="417"/>
      <c r="X37" s="417"/>
      <c r="Y37" s="418"/>
      <c r="Z37" s="418"/>
      <c r="AA37" s="417"/>
      <c r="AB37" s="417"/>
      <c r="AC37" s="418"/>
      <c r="AD37" s="418"/>
      <c r="AE37" s="417"/>
      <c r="AF37" s="417"/>
      <c r="AG37" s="418"/>
      <c r="AH37" s="418"/>
      <c r="AI37" s="419"/>
      <c r="AJ37" s="419"/>
      <c r="AK37" s="418"/>
      <c r="AL37" s="418"/>
      <c r="AM37" s="417"/>
      <c r="AN37" s="417"/>
      <c r="AO37" s="418"/>
      <c r="AP37" s="418"/>
      <c r="AQ37" s="417"/>
      <c r="AR37" s="417"/>
      <c r="AS37" s="418"/>
      <c r="AT37" s="418"/>
      <c r="AU37" s="417"/>
      <c r="AV37" s="417"/>
      <c r="AW37" s="418"/>
      <c r="AX37" s="418"/>
      <c r="AY37" s="417"/>
      <c r="AZ37" s="417"/>
      <c r="BA37" s="418"/>
      <c r="BB37" s="418"/>
      <c r="BC37" s="417"/>
      <c r="BD37" s="417"/>
      <c r="BE37" s="418"/>
      <c r="BF37" s="418"/>
      <c r="BG37" s="417"/>
      <c r="BH37" s="417"/>
      <c r="BI37" s="418"/>
      <c r="BJ37" s="418"/>
      <c r="BK37" s="417"/>
      <c r="BL37" s="417"/>
      <c r="BM37" s="418"/>
      <c r="BN37" s="418"/>
      <c r="BO37" s="417"/>
      <c r="BP37" s="417"/>
      <c r="BQ37" s="418"/>
      <c r="BR37" s="418"/>
      <c r="BS37" s="417"/>
      <c r="BT37" s="417"/>
      <c r="BU37" s="418"/>
      <c r="BV37" s="418"/>
      <c r="BW37" s="417"/>
      <c r="BX37" s="417"/>
      <c r="BY37" s="418"/>
      <c r="BZ37" s="418"/>
      <c r="CA37" s="417"/>
      <c r="CB37" s="417"/>
      <c r="CC37" s="418"/>
      <c r="CD37" s="418"/>
      <c r="CE37" s="417"/>
      <c r="CF37" s="417"/>
      <c r="CG37" s="418"/>
      <c r="CH37" s="418"/>
      <c r="CI37" s="417"/>
      <c r="CJ37" s="417"/>
      <c r="CK37" s="418"/>
      <c r="CL37" s="418"/>
      <c r="CM37" s="417"/>
      <c r="CN37" s="417"/>
      <c r="CO37" s="418"/>
      <c r="CP37" s="418"/>
      <c r="CQ37" s="417"/>
      <c r="CR37" s="417"/>
      <c r="CS37" s="418"/>
      <c r="CT37" s="418"/>
      <c r="CU37" s="417"/>
      <c r="CV37" s="417"/>
      <c r="CW37" s="418"/>
      <c r="CX37" s="418"/>
      <c r="CY37" s="417"/>
      <c r="CZ37" s="417"/>
      <c r="DA37" s="418"/>
      <c r="DB37" s="418"/>
    </row>
    <row r="38" spans="2:106" s="274" customFormat="1" ht="14.25" customHeight="1" x14ac:dyDescent="0.2">
      <c r="B38" s="405" t="s">
        <v>724</v>
      </c>
      <c r="C38" s="287"/>
      <c r="D38" s="287"/>
      <c r="E38" s="405"/>
      <c r="F38" s="405"/>
      <c r="G38" s="417"/>
      <c r="H38" s="417"/>
      <c r="I38" s="418"/>
      <c r="J38" s="418"/>
      <c r="K38" s="417"/>
      <c r="L38" s="417"/>
      <c r="M38" s="418"/>
      <c r="N38" s="418"/>
      <c r="O38" s="417"/>
      <c r="P38" s="417"/>
      <c r="Q38" s="418"/>
      <c r="R38" s="418"/>
      <c r="S38" s="417"/>
      <c r="T38" s="417"/>
      <c r="U38" s="418"/>
      <c r="V38" s="418"/>
      <c r="W38" s="417"/>
      <c r="X38" s="417"/>
      <c r="Y38" s="418"/>
      <c r="Z38" s="418"/>
      <c r="AA38" s="417"/>
      <c r="AB38" s="417"/>
      <c r="AC38" s="418"/>
      <c r="AD38" s="418"/>
      <c r="AE38" s="417"/>
      <c r="AF38" s="417"/>
      <c r="AG38" s="418"/>
      <c r="AH38" s="418"/>
      <c r="AI38" s="419"/>
      <c r="AJ38" s="419"/>
      <c r="AK38" s="418"/>
      <c r="AL38" s="418"/>
      <c r="AM38" s="417"/>
      <c r="AN38" s="417"/>
      <c r="AO38" s="418"/>
      <c r="AP38" s="418"/>
      <c r="AQ38" s="417"/>
      <c r="AR38" s="417"/>
      <c r="AS38" s="418"/>
      <c r="AT38" s="418"/>
      <c r="AU38" s="417"/>
      <c r="AV38" s="417"/>
      <c r="AW38" s="418"/>
      <c r="AX38" s="418"/>
      <c r="AY38" s="417"/>
      <c r="AZ38" s="417"/>
      <c r="BA38" s="418"/>
      <c r="BB38" s="418"/>
      <c r="BC38" s="417"/>
      <c r="BD38" s="417"/>
      <c r="BE38" s="418"/>
      <c r="BF38" s="418"/>
      <c r="BG38" s="417"/>
      <c r="BH38" s="417"/>
      <c r="BI38" s="418"/>
      <c r="BJ38" s="418"/>
      <c r="BK38" s="417"/>
      <c r="BL38" s="417"/>
      <c r="BM38" s="418"/>
      <c r="BN38" s="418"/>
      <c r="BO38" s="417"/>
      <c r="BP38" s="417"/>
      <c r="BQ38" s="418"/>
      <c r="BR38" s="418"/>
      <c r="BS38" s="417"/>
      <c r="BT38" s="417"/>
      <c r="BU38" s="418"/>
      <c r="BV38" s="418"/>
      <c r="BW38" s="417"/>
      <c r="BX38" s="417"/>
      <c r="BY38" s="418"/>
      <c r="BZ38" s="418"/>
      <c r="CA38" s="417"/>
      <c r="CB38" s="417"/>
      <c r="CC38" s="418"/>
      <c r="CD38" s="418"/>
      <c r="CE38" s="417"/>
      <c r="CF38" s="417"/>
      <c r="CG38" s="418"/>
      <c r="CH38" s="418"/>
      <c r="CI38" s="417"/>
      <c r="CJ38" s="417"/>
      <c r="CK38" s="418"/>
      <c r="CL38" s="418"/>
      <c r="CM38" s="417"/>
      <c r="CN38" s="417"/>
      <c r="CO38" s="418"/>
      <c r="CP38" s="418"/>
      <c r="CQ38" s="417"/>
      <c r="CR38" s="417"/>
      <c r="CS38" s="418"/>
      <c r="CT38" s="418"/>
      <c r="CU38" s="417"/>
      <c r="CV38" s="417"/>
      <c r="CW38" s="418"/>
      <c r="CX38" s="418"/>
      <c r="CY38" s="417"/>
      <c r="CZ38" s="417"/>
      <c r="DA38" s="418"/>
      <c r="DB38" s="418"/>
    </row>
    <row r="39" spans="2:106" s="274" customFormat="1" ht="14.25" customHeight="1" x14ac:dyDescent="0.2">
      <c r="B39" s="405" t="s">
        <v>725</v>
      </c>
      <c r="C39" s="287"/>
      <c r="D39" s="287"/>
      <c r="E39" s="405"/>
      <c r="F39" s="405"/>
      <c r="G39" s="298">
        <v>741.33556582948518</v>
      </c>
      <c r="H39" s="298">
        <v>1778.3219080622803</v>
      </c>
      <c r="I39" s="299">
        <v>282.62811247925487</v>
      </c>
      <c r="J39" s="299">
        <v>1886.0352557942101</v>
      </c>
      <c r="K39" s="298">
        <v>432.48722647938069</v>
      </c>
      <c r="L39" s="298">
        <v>1712.6253031177275</v>
      </c>
      <c r="M39" s="299">
        <v>411.01753653441472</v>
      </c>
      <c r="N39" s="299">
        <v>1749.4851282214661</v>
      </c>
      <c r="O39" s="298">
        <v>352.02500089360558</v>
      </c>
      <c r="P39" s="298">
        <v>1625.1060207626847</v>
      </c>
      <c r="Q39" s="299">
        <v>558.31397722676945</v>
      </c>
      <c r="R39" s="299">
        <v>1593.7904582431283</v>
      </c>
      <c r="S39" s="298">
        <v>543.13415973664382</v>
      </c>
      <c r="T39" s="298">
        <v>1581.6184916629659</v>
      </c>
      <c r="U39" s="299">
        <v>493.69050512341073</v>
      </c>
      <c r="V39" s="299">
        <v>1993.9751315963977</v>
      </c>
      <c r="W39" s="298">
        <v>498.87177052894674</v>
      </c>
      <c r="X39" s="298">
        <v>3088.5673584491674</v>
      </c>
      <c r="Y39" s="299">
        <v>701.00199573379041</v>
      </c>
      <c r="Z39" s="299">
        <v>3050.7754168208448</v>
      </c>
      <c r="AA39" s="298">
        <v>596.65240905489907</v>
      </c>
      <c r="AB39" s="298">
        <v>2696.9009041248132</v>
      </c>
      <c r="AC39" s="299">
        <v>567.31133310154894</v>
      </c>
      <c r="AD39" s="299">
        <v>2069.925459467172</v>
      </c>
      <c r="AE39" s="298">
        <v>828.96482048814448</v>
      </c>
      <c r="AF39" s="298">
        <v>2322.3452766091941</v>
      </c>
      <c r="AG39" s="299">
        <v>705.82305593457909</v>
      </c>
      <c r="AH39" s="299">
        <v>2441.5742994426669</v>
      </c>
      <c r="AI39" s="300">
        <v>652.53035675261071</v>
      </c>
      <c r="AJ39" s="300">
        <v>1836.8706728861994</v>
      </c>
      <c r="AK39" s="299">
        <v>618.51096776757265</v>
      </c>
      <c r="AL39" s="299">
        <v>1860.6080484946342</v>
      </c>
      <c r="AM39" s="298">
        <v>573.50442804394299</v>
      </c>
      <c r="AN39" s="298">
        <v>1774.3481753162471</v>
      </c>
      <c r="AO39" s="299">
        <v>784.15046519965358</v>
      </c>
      <c r="AP39" s="299">
        <v>2213.2156051224611</v>
      </c>
      <c r="AQ39" s="298">
        <v>558.48107915177354</v>
      </c>
      <c r="AR39" s="298">
        <v>2385.3025103921827</v>
      </c>
      <c r="AS39" s="299">
        <v>427.2384551826807</v>
      </c>
      <c r="AT39" s="299">
        <v>1884.8675536079427</v>
      </c>
      <c r="AU39" s="298">
        <v>812.99911868135041</v>
      </c>
      <c r="AV39" s="298">
        <v>1982.6538042284024</v>
      </c>
      <c r="AW39" s="299">
        <v>863.70000917647587</v>
      </c>
      <c r="AX39" s="299">
        <v>1580.7855502622745</v>
      </c>
      <c r="AY39" s="298">
        <v>1014.190542490093</v>
      </c>
      <c r="AZ39" s="298">
        <v>1761.8381865787937</v>
      </c>
      <c r="BA39" s="299">
        <v>904.50224082146826</v>
      </c>
      <c r="BB39" s="299">
        <v>1393.3163352393481</v>
      </c>
      <c r="BC39" s="298">
        <v>830.4054121483756</v>
      </c>
      <c r="BD39" s="298">
        <v>1712.6322264662888</v>
      </c>
      <c r="BE39" s="299">
        <v>771.02110860301491</v>
      </c>
      <c r="BF39" s="299">
        <v>1748.2714144223135</v>
      </c>
      <c r="BG39" s="298">
        <v>857.1593213521528</v>
      </c>
      <c r="BH39" s="298">
        <v>1553.6237720225147</v>
      </c>
      <c r="BI39" s="299">
        <v>792.52840440348041</v>
      </c>
      <c r="BJ39" s="299">
        <v>1112.2620573711642</v>
      </c>
      <c r="BK39" s="298">
        <v>685.77874522429636</v>
      </c>
      <c r="BL39" s="298">
        <v>1488.6719033063441</v>
      </c>
      <c r="BM39" s="299">
        <v>835.46313738880633</v>
      </c>
      <c r="BN39" s="299">
        <v>1733.5029358352886</v>
      </c>
      <c r="BO39" s="298">
        <v>531.04987124047352</v>
      </c>
      <c r="BP39" s="298">
        <v>1456.4717759972546</v>
      </c>
      <c r="BQ39" s="299">
        <v>783.77130188164233</v>
      </c>
      <c r="BR39" s="299">
        <v>1556.1680434101568</v>
      </c>
      <c r="BS39" s="298">
        <v>1237.7874374467774</v>
      </c>
      <c r="BT39" s="298">
        <v>3234.6814830905087</v>
      </c>
      <c r="BU39" s="299">
        <v>1141.7267290546802</v>
      </c>
      <c r="BV39" s="299">
        <v>5749.0178959848918</v>
      </c>
      <c r="BW39" s="298">
        <v>1385.4666607959866</v>
      </c>
      <c r="BX39" s="298">
        <v>6375.3026471809808</v>
      </c>
      <c r="BY39" s="299">
        <v>1629.9078683649079</v>
      </c>
      <c r="BZ39" s="299">
        <v>6101.3974957226364</v>
      </c>
      <c r="CA39" s="298">
        <v>1736.4025012482778</v>
      </c>
      <c r="CB39" s="298">
        <v>6392.1172106477097</v>
      </c>
      <c r="CC39" s="299">
        <v>1655.6146857618903</v>
      </c>
      <c r="CD39" s="299">
        <v>5880.0150350755275</v>
      </c>
      <c r="CE39" s="298">
        <v>1435.6814966617851</v>
      </c>
      <c r="CF39" s="298">
        <v>5525.1408727574881</v>
      </c>
      <c r="CG39" s="299">
        <v>1461.1487547420909</v>
      </c>
      <c r="CH39" s="299">
        <v>5785.416513450803</v>
      </c>
      <c r="CI39" s="298">
        <v>1999.1526232108833</v>
      </c>
      <c r="CJ39" s="298">
        <v>5806.6746180878317</v>
      </c>
      <c r="CK39" s="299">
        <v>1769.6753903532103</v>
      </c>
      <c r="CL39" s="299">
        <v>7941.2123586495563</v>
      </c>
      <c r="CM39" s="298">
        <v>1743.0800781184371</v>
      </c>
      <c r="CN39" s="298">
        <v>7824.2037272910011</v>
      </c>
      <c r="CO39" s="299">
        <v>1675.4371504171484</v>
      </c>
      <c r="CP39" s="299">
        <v>7644.1309757480003</v>
      </c>
      <c r="CQ39" s="298">
        <v>1489.1219420223049</v>
      </c>
      <c r="CR39" s="298">
        <v>7606.3429349745602</v>
      </c>
      <c r="CS39" s="299">
        <v>1697.1364560349134</v>
      </c>
      <c r="CT39" s="299">
        <v>7051.0243872641595</v>
      </c>
      <c r="CU39" s="298">
        <v>2147.937643193558</v>
      </c>
      <c r="CV39" s="298">
        <v>7176.5397172142721</v>
      </c>
      <c r="CW39" s="299">
        <v>1430.4572105368782</v>
      </c>
      <c r="CX39" s="299">
        <v>6835.6853353117021</v>
      </c>
      <c r="CY39" s="298">
        <v>1332.6628160366308</v>
      </c>
      <c r="CZ39" s="298">
        <v>6575.0795333325659</v>
      </c>
      <c r="DA39" s="299">
        <v>1323.0285048752492</v>
      </c>
      <c r="DB39" s="299">
        <v>6556.2544333870137</v>
      </c>
    </row>
    <row r="40" spans="2:106" ht="14.25" customHeight="1" x14ac:dyDescent="0.25">
      <c r="B40" s="406" t="s">
        <v>726</v>
      </c>
      <c r="C40" s="393"/>
      <c r="D40" s="393"/>
      <c r="E40" s="406"/>
      <c r="F40" s="406"/>
      <c r="G40" s="303"/>
      <c r="H40" s="303">
        <v>204.65074284402112</v>
      </c>
      <c r="I40" s="304"/>
      <c r="J40" s="304">
        <v>5.5614763387455692</v>
      </c>
      <c r="K40" s="303"/>
      <c r="L40" s="303">
        <v>5.456438570059003</v>
      </c>
      <c r="M40" s="304"/>
      <c r="N40" s="304">
        <v>4.8824222575589644</v>
      </c>
      <c r="O40" s="303"/>
      <c r="P40" s="303">
        <v>7.4884496138319987</v>
      </c>
      <c r="Q40" s="304"/>
      <c r="R40" s="304">
        <v>6.4298976932985195</v>
      </c>
      <c r="S40" s="303"/>
      <c r="T40" s="303">
        <v>5.8242248391271554</v>
      </c>
      <c r="U40" s="304"/>
      <c r="V40" s="304">
        <v>407.00310069827992</v>
      </c>
      <c r="W40" s="303"/>
      <c r="X40" s="303">
        <v>1505.0810640411091</v>
      </c>
      <c r="Y40" s="304"/>
      <c r="Z40" s="304">
        <v>1104.500781981754</v>
      </c>
      <c r="AA40" s="303"/>
      <c r="AB40" s="303">
        <v>1104.2709499126477</v>
      </c>
      <c r="AC40" s="304"/>
      <c r="AD40" s="304">
        <v>403.64116923938053</v>
      </c>
      <c r="AE40" s="303"/>
      <c r="AF40" s="303">
        <v>404.3163420733232</v>
      </c>
      <c r="AG40" s="304"/>
      <c r="AH40" s="304">
        <v>403.01620264719628</v>
      </c>
      <c r="AI40" s="305"/>
      <c r="AJ40" s="305">
        <v>2.7618801897249958</v>
      </c>
      <c r="AK40" s="304"/>
      <c r="AL40" s="304">
        <v>2.3692533925476695</v>
      </c>
      <c r="AM40" s="303"/>
      <c r="AN40" s="303">
        <v>1.8789049933930768</v>
      </c>
      <c r="AO40" s="304"/>
      <c r="AP40" s="304">
        <v>1.3466860988991198</v>
      </c>
      <c r="AQ40" s="303"/>
      <c r="AR40" s="303">
        <v>1.0731902001955418</v>
      </c>
      <c r="AS40" s="304"/>
      <c r="AT40" s="304">
        <v>0.4748005084770241</v>
      </c>
      <c r="AU40" s="303"/>
      <c r="AV40" s="303">
        <v>0.44378620808654673</v>
      </c>
      <c r="AW40" s="304"/>
      <c r="AX40" s="304">
        <v>0.40441842709626991</v>
      </c>
      <c r="AY40" s="303"/>
      <c r="AZ40" s="303">
        <v>0.3866870221428873</v>
      </c>
      <c r="BA40" s="304"/>
      <c r="BB40" s="304">
        <v>0.32817724472982307</v>
      </c>
      <c r="BC40" s="303"/>
      <c r="BD40" s="303">
        <v>0.31176120607564861</v>
      </c>
      <c r="BE40" s="304"/>
      <c r="BF40" s="304">
        <v>0.3055511996652342</v>
      </c>
      <c r="BG40" s="303"/>
      <c r="BH40" s="303">
        <v>0.24613868360057961</v>
      </c>
      <c r="BI40" s="304"/>
      <c r="BJ40" s="304">
        <v>0.37663984627544472</v>
      </c>
      <c r="BK40" s="303"/>
      <c r="BL40" s="303">
        <v>400.36472965243013</v>
      </c>
      <c r="BM40" s="304"/>
      <c r="BN40" s="304">
        <v>400.27436111480074</v>
      </c>
      <c r="BO40" s="303"/>
      <c r="BP40" s="303">
        <v>0.93815597683253016</v>
      </c>
      <c r="BQ40" s="304"/>
      <c r="BR40" s="304">
        <v>0.92113981831388492</v>
      </c>
      <c r="BS40" s="303"/>
      <c r="BT40" s="303">
        <v>201.19237035353026</v>
      </c>
      <c r="BU40" s="304"/>
      <c r="BV40" s="304">
        <v>1775.1205353540172</v>
      </c>
      <c r="BW40" s="303"/>
      <c r="BX40" s="303">
        <v>2074.2706854322073</v>
      </c>
      <c r="BY40" s="304"/>
      <c r="BZ40" s="304">
        <v>2036.5443106369326</v>
      </c>
      <c r="CA40" s="303"/>
      <c r="CB40" s="303">
        <v>2022.4690329125106</v>
      </c>
      <c r="CC40" s="304"/>
      <c r="CD40" s="304">
        <v>2037.2075678725735</v>
      </c>
      <c r="CE40" s="303"/>
      <c r="CF40" s="303">
        <v>2012.617783671697</v>
      </c>
      <c r="CG40" s="304"/>
      <c r="CH40" s="304">
        <v>2022.2178620030118</v>
      </c>
      <c r="CI40" s="303"/>
      <c r="CJ40" s="303">
        <v>1753.0637360312196</v>
      </c>
      <c r="CK40" s="304"/>
      <c r="CL40" s="304">
        <v>3891.4793519376653</v>
      </c>
      <c r="CM40" s="303"/>
      <c r="CN40" s="303">
        <v>3771.8445174245489</v>
      </c>
      <c r="CO40" s="304"/>
      <c r="CP40" s="304">
        <v>3521.7449330526497</v>
      </c>
      <c r="CQ40" s="303"/>
      <c r="CR40" s="303">
        <v>3326.7201658225563</v>
      </c>
      <c r="CS40" s="304"/>
      <c r="CT40" s="304">
        <v>2968.6776336012686</v>
      </c>
      <c r="CU40" s="303"/>
      <c r="CV40" s="303">
        <v>2723.9580067639581</v>
      </c>
      <c r="CW40" s="304"/>
      <c r="CX40" s="304">
        <v>2480.3132655415557</v>
      </c>
      <c r="CY40" s="303"/>
      <c r="CZ40" s="303">
        <v>2241.3598703294706</v>
      </c>
      <c r="DA40" s="304"/>
      <c r="DB40" s="304">
        <v>2071.6169706362434</v>
      </c>
    </row>
    <row r="41" spans="2:106" ht="14.25" customHeight="1" x14ac:dyDescent="0.25">
      <c r="B41" s="406" t="s">
        <v>727</v>
      </c>
      <c r="C41" s="393"/>
      <c r="D41" s="393"/>
      <c r="E41" s="406"/>
      <c r="F41" s="406"/>
      <c r="G41" s="303"/>
      <c r="H41" s="303">
        <v>4.6507428440211385</v>
      </c>
      <c r="I41" s="304"/>
      <c r="J41" s="304">
        <v>5.5614763387455692</v>
      </c>
      <c r="K41" s="303"/>
      <c r="L41" s="303">
        <v>5.456438570059003</v>
      </c>
      <c r="M41" s="304"/>
      <c r="N41" s="304">
        <v>4.8824222575589644</v>
      </c>
      <c r="O41" s="303"/>
      <c r="P41" s="303">
        <v>7.4884496138319987</v>
      </c>
      <c r="Q41" s="304"/>
      <c r="R41" s="304">
        <v>6.4298976932985195</v>
      </c>
      <c r="S41" s="303"/>
      <c r="T41" s="303">
        <v>5.8242248391271554</v>
      </c>
      <c r="U41" s="304"/>
      <c r="V41" s="304">
        <v>7.0031006982799227</v>
      </c>
      <c r="W41" s="303"/>
      <c r="X41" s="303">
        <v>5.0810640411091299</v>
      </c>
      <c r="Y41" s="304"/>
      <c r="Z41" s="304">
        <v>4.5007819817540167</v>
      </c>
      <c r="AA41" s="303"/>
      <c r="AB41" s="303">
        <v>4.2709499126476658</v>
      </c>
      <c r="AC41" s="304"/>
      <c r="AD41" s="304">
        <v>3.6411692393805311</v>
      </c>
      <c r="AE41" s="303"/>
      <c r="AF41" s="303">
        <v>4.3163420733231419</v>
      </c>
      <c r="AG41" s="304"/>
      <c r="AH41" s="304">
        <v>3.0162026471962804</v>
      </c>
      <c r="AI41" s="305"/>
      <c r="AJ41" s="305">
        <v>2.7618801897249958</v>
      </c>
      <c r="AK41" s="304"/>
      <c r="AL41" s="304">
        <v>2.3692533925476695</v>
      </c>
      <c r="AM41" s="303"/>
      <c r="AN41" s="303">
        <v>1.8789049933930768</v>
      </c>
      <c r="AO41" s="304"/>
      <c r="AP41" s="304">
        <v>1.3466860988991198</v>
      </c>
      <c r="AQ41" s="303"/>
      <c r="AR41" s="303">
        <v>1.0731902001955418</v>
      </c>
      <c r="AS41" s="304"/>
      <c r="AT41" s="304">
        <v>0.4748005084770241</v>
      </c>
      <c r="AU41" s="303"/>
      <c r="AV41" s="303">
        <v>0.44378620808654673</v>
      </c>
      <c r="AW41" s="304"/>
      <c r="AX41" s="304">
        <v>0.40441842709626991</v>
      </c>
      <c r="AY41" s="303"/>
      <c r="AZ41" s="303">
        <v>0.3866870221428873</v>
      </c>
      <c r="BA41" s="304"/>
      <c r="BB41" s="304">
        <v>0.32817724472982307</v>
      </c>
      <c r="BC41" s="303"/>
      <c r="BD41" s="303">
        <v>0.31176120607564861</v>
      </c>
      <c r="BE41" s="304"/>
      <c r="BF41" s="304">
        <v>0.3055511996652342</v>
      </c>
      <c r="BG41" s="303"/>
      <c r="BH41" s="303">
        <v>0.24613868360057961</v>
      </c>
      <c r="BI41" s="304"/>
      <c r="BJ41" s="304">
        <v>0.37663984627544472</v>
      </c>
      <c r="BK41" s="303"/>
      <c r="BL41" s="303">
        <v>0.36472965243012823</v>
      </c>
      <c r="BM41" s="304"/>
      <c r="BN41" s="304">
        <v>0.27436111480074032</v>
      </c>
      <c r="BO41" s="303"/>
      <c r="BP41" s="303">
        <v>0.93815597683253016</v>
      </c>
      <c r="BQ41" s="304"/>
      <c r="BR41" s="304">
        <v>0.92113981831388492</v>
      </c>
      <c r="BS41" s="303"/>
      <c r="BT41" s="303">
        <v>1.192370353530265</v>
      </c>
      <c r="BU41" s="304"/>
      <c r="BV41" s="304">
        <v>1.2742080379655363</v>
      </c>
      <c r="BW41" s="303"/>
      <c r="BX41" s="303">
        <v>2.7823911178261369</v>
      </c>
      <c r="BY41" s="304"/>
      <c r="BZ41" s="304">
        <v>3.2843910307990427</v>
      </c>
      <c r="CA41" s="303"/>
      <c r="CB41" s="303">
        <v>1.1435989086526206</v>
      </c>
      <c r="CC41" s="304"/>
      <c r="CD41" s="304">
        <v>0.19308167552571831</v>
      </c>
      <c r="CE41" s="303"/>
      <c r="CF41" s="303">
        <v>0.30981014468397916</v>
      </c>
      <c r="CG41" s="304"/>
      <c r="CH41" s="304">
        <v>0.35411912071344886</v>
      </c>
      <c r="CI41" s="303"/>
      <c r="CJ41" s="303">
        <v>0.38349204192445541</v>
      </c>
      <c r="CK41" s="304"/>
      <c r="CL41" s="304">
        <v>0.29352573173900964</v>
      </c>
      <c r="CM41" s="303"/>
      <c r="CN41" s="303">
        <v>0.30688416677230634</v>
      </c>
      <c r="CO41" s="304"/>
      <c r="CP41" s="304">
        <v>0.11345908032672014</v>
      </c>
      <c r="CQ41" s="303"/>
      <c r="CR41" s="303">
        <v>0.12313769057982427</v>
      </c>
      <c r="CS41" s="304"/>
      <c r="CT41" s="304">
        <v>0.11674956359502175</v>
      </c>
      <c r="CU41" s="303"/>
      <c r="CV41" s="303">
        <v>0.12301742803720117</v>
      </c>
      <c r="CW41" s="304"/>
      <c r="CX41" s="304">
        <v>0.11471653789703851</v>
      </c>
      <c r="CY41" s="303"/>
      <c r="CZ41" s="303">
        <v>0.11469601813769259</v>
      </c>
      <c r="DA41" s="304"/>
      <c r="DB41" s="304">
        <v>0.11607774053300091</v>
      </c>
    </row>
    <row r="42" spans="2:106" ht="14.25" customHeight="1" x14ac:dyDescent="0.25">
      <c r="B42" s="406" t="s">
        <v>728</v>
      </c>
      <c r="C42" s="393"/>
      <c r="D42" s="393"/>
      <c r="E42" s="406"/>
      <c r="F42" s="406"/>
      <c r="G42" s="303"/>
      <c r="H42" s="303">
        <v>200</v>
      </c>
      <c r="I42" s="304"/>
      <c r="J42" s="304">
        <v>0</v>
      </c>
      <c r="K42" s="303"/>
      <c r="L42" s="303">
        <v>0</v>
      </c>
      <c r="M42" s="304"/>
      <c r="N42" s="304">
        <v>0</v>
      </c>
      <c r="O42" s="303"/>
      <c r="P42" s="303">
        <v>0</v>
      </c>
      <c r="Q42" s="304"/>
      <c r="R42" s="304"/>
      <c r="S42" s="303"/>
      <c r="T42" s="303">
        <v>0</v>
      </c>
      <c r="U42" s="304"/>
      <c r="V42" s="304">
        <v>400</v>
      </c>
      <c r="W42" s="303"/>
      <c r="X42" s="303">
        <v>1500</v>
      </c>
      <c r="Y42" s="304"/>
      <c r="Z42" s="304">
        <v>1100</v>
      </c>
      <c r="AA42" s="303"/>
      <c r="AB42" s="303">
        <v>1100</v>
      </c>
      <c r="AC42" s="304"/>
      <c r="AD42" s="304">
        <v>400</v>
      </c>
      <c r="AE42" s="303"/>
      <c r="AF42" s="303">
        <v>400.00000000000006</v>
      </c>
      <c r="AG42" s="304"/>
      <c r="AH42" s="304">
        <v>400</v>
      </c>
      <c r="AI42" s="305"/>
      <c r="AJ42" s="305">
        <v>0</v>
      </c>
      <c r="AK42" s="304"/>
      <c r="AL42" s="304">
        <v>0</v>
      </c>
      <c r="AM42" s="303"/>
      <c r="AN42" s="303">
        <v>0</v>
      </c>
      <c r="AO42" s="304"/>
      <c r="AP42" s="304">
        <v>0</v>
      </c>
      <c r="AQ42" s="303"/>
      <c r="AR42" s="303">
        <v>0</v>
      </c>
      <c r="AS42" s="304"/>
      <c r="AT42" s="304">
        <v>0</v>
      </c>
      <c r="AU42" s="303"/>
      <c r="AV42" s="303">
        <v>0</v>
      </c>
      <c r="AW42" s="304"/>
      <c r="AX42" s="304">
        <v>0</v>
      </c>
      <c r="AY42" s="303"/>
      <c r="AZ42" s="303">
        <v>0</v>
      </c>
      <c r="BA42" s="304"/>
      <c r="BB42" s="304">
        <v>0</v>
      </c>
      <c r="BC42" s="303"/>
      <c r="BD42" s="303">
        <v>0</v>
      </c>
      <c r="BE42" s="304"/>
      <c r="BF42" s="304">
        <v>0</v>
      </c>
      <c r="BG42" s="303"/>
      <c r="BH42" s="303">
        <v>0</v>
      </c>
      <c r="BI42" s="304"/>
      <c r="BJ42" s="304">
        <v>0</v>
      </c>
      <c r="BK42" s="303"/>
      <c r="BL42" s="303">
        <v>400</v>
      </c>
      <c r="BM42" s="304"/>
      <c r="BN42" s="304">
        <v>400</v>
      </c>
      <c r="BO42" s="303"/>
      <c r="BP42" s="303">
        <v>0</v>
      </c>
      <c r="BQ42" s="304"/>
      <c r="BR42" s="304">
        <v>0</v>
      </c>
      <c r="BS42" s="303"/>
      <c r="BT42" s="303">
        <v>200</v>
      </c>
      <c r="BU42" s="304"/>
      <c r="BV42" s="304">
        <v>1773.8463273160517</v>
      </c>
      <c r="BW42" s="303"/>
      <c r="BX42" s="303">
        <v>2071.4882943143812</v>
      </c>
      <c r="BY42" s="304"/>
      <c r="BZ42" s="304">
        <v>2033.2599196061335</v>
      </c>
      <c r="CA42" s="303"/>
      <c r="CB42" s="303">
        <v>2021.3254340038579</v>
      </c>
      <c r="CC42" s="304"/>
      <c r="CD42" s="304">
        <v>2037.0144861970477</v>
      </c>
      <c r="CE42" s="303"/>
      <c r="CF42" s="303">
        <v>2012.307973527013</v>
      </c>
      <c r="CG42" s="304"/>
      <c r="CH42" s="304">
        <v>2021.8637428822983</v>
      </c>
      <c r="CI42" s="303"/>
      <c r="CJ42" s="303">
        <v>1752.6802439892951</v>
      </c>
      <c r="CK42" s="304"/>
      <c r="CL42" s="304">
        <v>3891.1858262059263</v>
      </c>
      <c r="CM42" s="303"/>
      <c r="CN42" s="303">
        <v>3771.5376332577766</v>
      </c>
      <c r="CO42" s="304"/>
      <c r="CP42" s="304">
        <v>3521.631473972323</v>
      </c>
      <c r="CQ42" s="303"/>
      <c r="CR42" s="303">
        <v>3326.5970281319765</v>
      </c>
      <c r="CS42" s="304"/>
      <c r="CT42" s="304">
        <v>2968.5608840376735</v>
      </c>
      <c r="CU42" s="303"/>
      <c r="CV42" s="303">
        <v>2723.8349893359209</v>
      </c>
      <c r="CW42" s="304"/>
      <c r="CX42" s="304">
        <v>2480.1985490036586</v>
      </c>
      <c r="CY42" s="303"/>
      <c r="CZ42" s="303">
        <v>2241.2451743113329</v>
      </c>
      <c r="DA42" s="304"/>
      <c r="DB42" s="304">
        <v>2071.5008928957104</v>
      </c>
    </row>
    <row r="43" spans="2:106" ht="14.25" customHeight="1" x14ac:dyDescent="0.25">
      <c r="B43" s="406" t="s">
        <v>713</v>
      </c>
      <c r="C43" s="393"/>
      <c r="D43" s="393"/>
      <c r="E43" s="406"/>
      <c r="F43" s="406"/>
      <c r="G43" s="303">
        <v>741.33556582948518</v>
      </c>
      <c r="H43" s="303">
        <v>1573.6711652182591</v>
      </c>
      <c r="I43" s="304">
        <v>282.62811247925487</v>
      </c>
      <c r="J43" s="304">
        <v>1880.4737794554646</v>
      </c>
      <c r="K43" s="303">
        <v>432.48722647938069</v>
      </c>
      <c r="L43" s="303">
        <v>1707.1688645476686</v>
      </c>
      <c r="M43" s="304">
        <v>411.01753653441472</v>
      </c>
      <c r="N43" s="304">
        <v>1744.6027059639071</v>
      </c>
      <c r="O43" s="303">
        <v>352.02500089360558</v>
      </c>
      <c r="P43" s="303">
        <v>1617.6175711488527</v>
      </c>
      <c r="Q43" s="304">
        <v>558.31397722676945</v>
      </c>
      <c r="R43" s="304">
        <v>1587.3605605498299</v>
      </c>
      <c r="S43" s="303">
        <v>543.13415973664382</v>
      </c>
      <c r="T43" s="303">
        <v>1575.7942668238388</v>
      </c>
      <c r="U43" s="304">
        <v>493.69050512341073</v>
      </c>
      <c r="V43" s="304">
        <v>1586.9720308981177</v>
      </c>
      <c r="W43" s="303">
        <v>498.87177052894674</v>
      </c>
      <c r="X43" s="303">
        <v>1583.4862944080583</v>
      </c>
      <c r="Y43" s="304">
        <v>701.00199573379041</v>
      </c>
      <c r="Z43" s="304">
        <v>1946.2746348390906</v>
      </c>
      <c r="AA43" s="303">
        <v>596.65240905489907</v>
      </c>
      <c r="AB43" s="303">
        <v>1592.6299542121656</v>
      </c>
      <c r="AC43" s="304">
        <v>567.31133310154894</v>
      </c>
      <c r="AD43" s="304">
        <v>1666.2842902277916</v>
      </c>
      <c r="AE43" s="303">
        <v>828.96482048814448</v>
      </c>
      <c r="AF43" s="303">
        <v>1918.0289345358708</v>
      </c>
      <c r="AG43" s="304">
        <v>705.82305593457909</v>
      </c>
      <c r="AH43" s="304">
        <v>2038.5580967954704</v>
      </c>
      <c r="AI43" s="305">
        <v>652.53035675261071</v>
      </c>
      <c r="AJ43" s="305">
        <v>1834.1087926964744</v>
      </c>
      <c r="AK43" s="304">
        <v>618.51096776757265</v>
      </c>
      <c r="AL43" s="304">
        <v>1858.2387951020864</v>
      </c>
      <c r="AM43" s="303">
        <v>573.50442804394299</v>
      </c>
      <c r="AN43" s="303">
        <v>1772.4692703228541</v>
      </c>
      <c r="AO43" s="304">
        <v>784.15046519965358</v>
      </c>
      <c r="AP43" s="304">
        <v>2211.8689190235618</v>
      </c>
      <c r="AQ43" s="303">
        <v>558.48107915177354</v>
      </c>
      <c r="AR43" s="303">
        <v>2384.229320191987</v>
      </c>
      <c r="AS43" s="304">
        <v>427.2384551826807</v>
      </c>
      <c r="AT43" s="304">
        <v>1884.3927530994656</v>
      </c>
      <c r="AU43" s="303">
        <v>812.99911868135041</v>
      </c>
      <c r="AV43" s="303">
        <v>1982.2100180203158</v>
      </c>
      <c r="AW43" s="304">
        <v>863.70000917647587</v>
      </c>
      <c r="AX43" s="304">
        <v>1580.3811318351782</v>
      </c>
      <c r="AY43" s="303">
        <v>1014.190542490093</v>
      </c>
      <c r="AZ43" s="303">
        <v>1761.4514995566508</v>
      </c>
      <c r="BA43" s="304">
        <v>904.50224082146826</v>
      </c>
      <c r="BB43" s="304">
        <v>1392.9881579946182</v>
      </c>
      <c r="BC43" s="303">
        <v>830.4054121483756</v>
      </c>
      <c r="BD43" s="303">
        <v>1712.320465260213</v>
      </c>
      <c r="BE43" s="304">
        <v>771.02110860301491</v>
      </c>
      <c r="BF43" s="304">
        <v>1747.9658632226483</v>
      </c>
      <c r="BG43" s="303">
        <v>857.1593213521528</v>
      </c>
      <c r="BH43" s="303">
        <v>1553.3776333389142</v>
      </c>
      <c r="BI43" s="304">
        <v>792.52840440348041</v>
      </c>
      <c r="BJ43" s="304">
        <v>1111.8854175248889</v>
      </c>
      <c r="BK43" s="303">
        <v>685.77874522429636</v>
      </c>
      <c r="BL43" s="303">
        <v>1088.3071736539141</v>
      </c>
      <c r="BM43" s="304">
        <v>835.46313738880633</v>
      </c>
      <c r="BN43" s="304">
        <v>1333.2285747204878</v>
      </c>
      <c r="BO43" s="303">
        <v>531.04987124047352</v>
      </c>
      <c r="BP43" s="303">
        <v>1455.5336200204219</v>
      </c>
      <c r="BQ43" s="304">
        <v>783.77130188164233</v>
      </c>
      <c r="BR43" s="304">
        <v>1555.246903591843</v>
      </c>
      <c r="BS43" s="303">
        <v>1237.7874374467774</v>
      </c>
      <c r="BT43" s="303">
        <v>3033.4891127369783</v>
      </c>
      <c r="BU43" s="304">
        <v>1141.7267290546802</v>
      </c>
      <c r="BV43" s="304">
        <v>3973.8973606308746</v>
      </c>
      <c r="BW43" s="303">
        <v>1385.4666607959866</v>
      </c>
      <c r="BX43" s="303">
        <v>4301.031961748773</v>
      </c>
      <c r="BY43" s="304">
        <v>1629.9078683649079</v>
      </c>
      <c r="BZ43" s="304">
        <v>4064.8531850857034</v>
      </c>
      <c r="CA43" s="303">
        <v>1736.4025012482778</v>
      </c>
      <c r="CB43" s="303">
        <v>4369.6481777351992</v>
      </c>
      <c r="CC43" s="304">
        <v>1655.6146857618903</v>
      </c>
      <c r="CD43" s="304">
        <v>3842.8074672029538</v>
      </c>
      <c r="CE43" s="303">
        <v>1435.6814966617851</v>
      </c>
      <c r="CF43" s="303">
        <v>3512.5230890857911</v>
      </c>
      <c r="CG43" s="304">
        <v>1461.1487547420909</v>
      </c>
      <c r="CH43" s="304">
        <v>3763.1986514477912</v>
      </c>
      <c r="CI43" s="303">
        <v>1999.1526232108833</v>
      </c>
      <c r="CJ43" s="303">
        <v>4053.6108820566119</v>
      </c>
      <c r="CK43" s="304">
        <v>1769.6753903532103</v>
      </c>
      <c r="CL43" s="304">
        <v>4049.733006711891</v>
      </c>
      <c r="CM43" s="303">
        <v>1743.0800781184371</v>
      </c>
      <c r="CN43" s="303">
        <v>4052.3592098664521</v>
      </c>
      <c r="CO43" s="304">
        <v>1675.4371504171484</v>
      </c>
      <c r="CP43" s="304">
        <v>4122.3860426953506</v>
      </c>
      <c r="CQ43" s="303">
        <v>1489.1219420223049</v>
      </c>
      <c r="CR43" s="303">
        <v>4279.6227691520044</v>
      </c>
      <c r="CS43" s="304">
        <v>1697.1364560349134</v>
      </c>
      <c r="CT43" s="304">
        <v>4082.3467536628909</v>
      </c>
      <c r="CU43" s="303">
        <v>2147.937643193558</v>
      </c>
      <c r="CV43" s="303">
        <v>4452.5817104503139</v>
      </c>
      <c r="CW43" s="304">
        <v>1430.4572105368782</v>
      </c>
      <c r="CX43" s="304">
        <v>4355.3720697701465</v>
      </c>
      <c r="CY43" s="303">
        <v>1332.6628160366308</v>
      </c>
      <c r="CZ43" s="303">
        <v>4333.7196630030958</v>
      </c>
      <c r="DA43" s="304">
        <v>1323.0285048752492</v>
      </c>
      <c r="DB43" s="304">
        <v>4484.6374627507703</v>
      </c>
    </row>
    <row r="44" spans="2:106" ht="14.25" customHeight="1" x14ac:dyDescent="0.25">
      <c r="B44" s="406" t="s">
        <v>729</v>
      </c>
      <c r="C44" s="393"/>
      <c r="D44" s="393"/>
      <c r="E44" s="406"/>
      <c r="F44" s="406"/>
      <c r="G44" s="303">
        <v>467.11844368877831</v>
      </c>
      <c r="H44" s="303">
        <v>1573.6711652182591</v>
      </c>
      <c r="I44" s="304">
        <v>246.00559568040507</v>
      </c>
      <c r="J44" s="304">
        <v>1880.4737794554646</v>
      </c>
      <c r="K44" s="303">
        <v>296.61760894265961</v>
      </c>
      <c r="L44" s="303">
        <v>1707.1688645476686</v>
      </c>
      <c r="M44" s="304">
        <v>319.76862792378927</v>
      </c>
      <c r="N44" s="304">
        <v>1744.6027059639071</v>
      </c>
      <c r="O44" s="303">
        <v>304.36847492573099</v>
      </c>
      <c r="P44" s="303">
        <v>1617.6175711488527</v>
      </c>
      <c r="Q44" s="304">
        <v>387.51900842130328</v>
      </c>
      <c r="R44" s="304">
        <v>1587.3605605498299</v>
      </c>
      <c r="S44" s="303">
        <v>434.60780816403309</v>
      </c>
      <c r="T44" s="303">
        <v>1575.7942668238388</v>
      </c>
      <c r="U44" s="304">
        <v>375.33795232610328</v>
      </c>
      <c r="V44" s="304">
        <v>1586.9720308981177</v>
      </c>
      <c r="W44" s="303">
        <v>416.72014689857576</v>
      </c>
      <c r="X44" s="303">
        <v>1583.4862944080583</v>
      </c>
      <c r="Y44" s="304">
        <v>539.08630942307605</v>
      </c>
      <c r="Z44" s="304">
        <v>1946.2746348390906</v>
      </c>
      <c r="AA44" s="303">
        <v>515.9710877970814</v>
      </c>
      <c r="AB44" s="303">
        <v>1592.6299542121656</v>
      </c>
      <c r="AC44" s="304">
        <v>493.63312207917386</v>
      </c>
      <c r="AD44" s="304">
        <v>1666.2842902277916</v>
      </c>
      <c r="AE44" s="303">
        <v>632.67968479358012</v>
      </c>
      <c r="AF44" s="303">
        <v>1918.0289345358708</v>
      </c>
      <c r="AG44" s="304">
        <v>534.65252636181572</v>
      </c>
      <c r="AH44" s="304">
        <v>2038.5580967954704</v>
      </c>
      <c r="AI44" s="305">
        <v>521.71607710527678</v>
      </c>
      <c r="AJ44" s="305">
        <v>1834.1087926964744</v>
      </c>
      <c r="AK44" s="304">
        <v>314.00996955247217</v>
      </c>
      <c r="AL44" s="304">
        <v>1858.2387951020864</v>
      </c>
      <c r="AM44" s="303">
        <v>286.64583060033976</v>
      </c>
      <c r="AN44" s="303">
        <v>1772.4692703228541</v>
      </c>
      <c r="AO44" s="304">
        <v>545.85664199619509</v>
      </c>
      <c r="AP44" s="304">
        <v>2211.8689190235618</v>
      </c>
      <c r="AQ44" s="303">
        <v>371.36730969882512</v>
      </c>
      <c r="AR44" s="303">
        <v>2384.229320191987</v>
      </c>
      <c r="AS44" s="304">
        <v>292.91426608255313</v>
      </c>
      <c r="AT44" s="304">
        <v>1884.3927530994656</v>
      </c>
      <c r="AU44" s="303">
        <v>376.0773311368053</v>
      </c>
      <c r="AV44" s="303">
        <v>1982.2100180203158</v>
      </c>
      <c r="AW44" s="304">
        <v>357.02608949170428</v>
      </c>
      <c r="AX44" s="304">
        <v>1580.3811318351782</v>
      </c>
      <c r="AY44" s="303">
        <v>370.72452145449381</v>
      </c>
      <c r="AZ44" s="303">
        <v>1761.4514995566508</v>
      </c>
      <c r="BA44" s="304">
        <v>362.6557837833858</v>
      </c>
      <c r="BB44" s="304">
        <v>1392.9881579946182</v>
      </c>
      <c r="BC44" s="303">
        <v>466.59864058260666</v>
      </c>
      <c r="BD44" s="303">
        <v>1712.320465260213</v>
      </c>
      <c r="BE44" s="304">
        <v>363.2071235671736</v>
      </c>
      <c r="BF44" s="304">
        <v>1747.9658632226483</v>
      </c>
      <c r="BG44" s="303">
        <v>622.92951157755442</v>
      </c>
      <c r="BH44" s="303">
        <v>1553.3776333389142</v>
      </c>
      <c r="BI44" s="304">
        <v>592.40153135671903</v>
      </c>
      <c r="BJ44" s="304">
        <v>1111.8854175248889</v>
      </c>
      <c r="BK44" s="303">
        <v>562.08435160929355</v>
      </c>
      <c r="BL44" s="303">
        <v>1088.3071736539141</v>
      </c>
      <c r="BM44" s="304">
        <v>621.72840283313724</v>
      </c>
      <c r="BN44" s="304">
        <v>1333.2285747204878</v>
      </c>
      <c r="BO44" s="303">
        <v>419.32994955729492</v>
      </c>
      <c r="BP44" s="303">
        <v>1455.5336200204219</v>
      </c>
      <c r="BQ44" s="304">
        <v>744.37819623432847</v>
      </c>
      <c r="BR44" s="304">
        <v>1555.246903591843</v>
      </c>
      <c r="BS44" s="303">
        <v>999.78737181708482</v>
      </c>
      <c r="BT44" s="303">
        <v>3033.4891127369783</v>
      </c>
      <c r="BU44" s="304">
        <v>877.58380131993715</v>
      </c>
      <c r="BV44" s="304">
        <v>3973.8973606308746</v>
      </c>
      <c r="BW44" s="303">
        <v>1205.174797160535</v>
      </c>
      <c r="BX44" s="303">
        <v>4301.031961748773</v>
      </c>
      <c r="BY44" s="304">
        <v>1481.3679969334069</v>
      </c>
      <c r="BZ44" s="304">
        <v>4064.8531850857034</v>
      </c>
      <c r="CA44" s="303">
        <v>1361.2379320529071</v>
      </c>
      <c r="CB44" s="303">
        <v>4369.6481777351992</v>
      </c>
      <c r="CC44" s="304">
        <v>1482.570797995098</v>
      </c>
      <c r="CD44" s="304">
        <v>3842.8074672029538</v>
      </c>
      <c r="CE44" s="303">
        <v>1273.3479393233497</v>
      </c>
      <c r="CF44" s="303">
        <v>3512.5230890857911</v>
      </c>
      <c r="CG44" s="304">
        <v>1142.838293391186</v>
      </c>
      <c r="CH44" s="304">
        <v>3763.1986514477912</v>
      </c>
      <c r="CI44" s="303">
        <v>1320.6389429023714</v>
      </c>
      <c r="CJ44" s="303">
        <v>4053.6108820566119</v>
      </c>
      <c r="CK44" s="304">
        <v>1011.0337878287854</v>
      </c>
      <c r="CL44" s="304">
        <v>4049.733006711891</v>
      </c>
      <c r="CM44" s="303">
        <v>780.24355844622403</v>
      </c>
      <c r="CN44" s="303">
        <v>4052.3592098664521</v>
      </c>
      <c r="CO44" s="304">
        <v>711.55360491517195</v>
      </c>
      <c r="CP44" s="304">
        <v>4122.3860426953506</v>
      </c>
      <c r="CQ44" s="303">
        <v>741.99195635972501</v>
      </c>
      <c r="CR44" s="303">
        <v>4279.6227691520044</v>
      </c>
      <c r="CS44" s="304">
        <v>584.07357879277447</v>
      </c>
      <c r="CT44" s="304">
        <v>4082.3467536628909</v>
      </c>
      <c r="CU44" s="303">
        <v>854.74467893069345</v>
      </c>
      <c r="CV44" s="303">
        <v>4452.5817104503139</v>
      </c>
      <c r="CW44" s="304">
        <v>619.16375801170398</v>
      </c>
      <c r="CX44" s="304">
        <v>4355.3720697701465</v>
      </c>
      <c r="CY44" s="303">
        <v>528.5829208382944</v>
      </c>
      <c r="CZ44" s="303">
        <v>4333.7196630030958</v>
      </c>
      <c r="DA44" s="304">
        <v>534.9548931100046</v>
      </c>
      <c r="DB44" s="304">
        <v>4484.6374627507703</v>
      </c>
    </row>
    <row r="45" spans="2:106" ht="14.25" customHeight="1" x14ac:dyDescent="0.25">
      <c r="B45" s="406" t="s">
        <v>714</v>
      </c>
      <c r="C45" s="393"/>
      <c r="D45" s="393"/>
      <c r="E45" s="406"/>
      <c r="F45" s="406"/>
      <c r="G45" s="303">
        <v>274.21712214070686</v>
      </c>
      <c r="H45" s="303"/>
      <c r="I45" s="304">
        <v>36.622516798849801</v>
      </c>
      <c r="J45" s="304"/>
      <c r="K45" s="303">
        <v>135.86961753672108</v>
      </c>
      <c r="L45" s="303"/>
      <c r="M45" s="304">
        <v>91.248908610625449</v>
      </c>
      <c r="N45" s="304"/>
      <c r="O45" s="303">
        <v>47.656525967874586</v>
      </c>
      <c r="P45" s="303"/>
      <c r="Q45" s="304">
        <v>170.79496880546617</v>
      </c>
      <c r="R45" s="304"/>
      <c r="S45" s="303">
        <v>108.52635157261079</v>
      </c>
      <c r="T45" s="303"/>
      <c r="U45" s="304">
        <v>118.35255279730745</v>
      </c>
      <c r="V45" s="304"/>
      <c r="W45" s="303">
        <v>82.151623630370977</v>
      </c>
      <c r="X45" s="303"/>
      <c r="Y45" s="304">
        <v>161.91568631071436</v>
      </c>
      <c r="Z45" s="304"/>
      <c r="AA45" s="303">
        <v>80.681321257817672</v>
      </c>
      <c r="AB45" s="303"/>
      <c r="AC45" s="304">
        <v>73.678211022375081</v>
      </c>
      <c r="AD45" s="304"/>
      <c r="AE45" s="303">
        <v>196.28513569456436</v>
      </c>
      <c r="AF45" s="303"/>
      <c r="AG45" s="304">
        <v>171.17052957276337</v>
      </c>
      <c r="AH45" s="304"/>
      <c r="AI45" s="305">
        <v>130.81427964733393</v>
      </c>
      <c r="AJ45" s="305"/>
      <c r="AK45" s="304">
        <v>304.50099821510048</v>
      </c>
      <c r="AL45" s="304"/>
      <c r="AM45" s="303">
        <v>286.85859744360323</v>
      </c>
      <c r="AN45" s="303"/>
      <c r="AO45" s="304">
        <v>238.29382320345849</v>
      </c>
      <c r="AP45" s="304"/>
      <c r="AQ45" s="303">
        <v>187.11376945294842</v>
      </c>
      <c r="AR45" s="303"/>
      <c r="AS45" s="304">
        <v>134.32418910012757</v>
      </c>
      <c r="AT45" s="304"/>
      <c r="AU45" s="303">
        <v>436.92178754454517</v>
      </c>
      <c r="AV45" s="303"/>
      <c r="AW45" s="304">
        <v>506.67391968477159</v>
      </c>
      <c r="AX45" s="304"/>
      <c r="AY45" s="303">
        <v>643.46602103559917</v>
      </c>
      <c r="AZ45" s="303"/>
      <c r="BA45" s="304">
        <v>541.84645703808246</v>
      </c>
      <c r="BB45" s="304"/>
      <c r="BC45" s="303">
        <v>363.80677156576894</v>
      </c>
      <c r="BD45" s="303"/>
      <c r="BE45" s="304">
        <v>407.81398503584137</v>
      </c>
      <c r="BF45" s="304"/>
      <c r="BG45" s="303">
        <v>234.22980977459838</v>
      </c>
      <c r="BH45" s="303"/>
      <c r="BI45" s="304">
        <v>200.12687304676138</v>
      </c>
      <c r="BJ45" s="304"/>
      <c r="BK45" s="303">
        <v>123.69439361500281</v>
      </c>
      <c r="BL45" s="303"/>
      <c r="BM45" s="304">
        <v>213.73473455566909</v>
      </c>
      <c r="BN45" s="304"/>
      <c r="BO45" s="303">
        <v>111.71992168317865</v>
      </c>
      <c r="BP45" s="303"/>
      <c r="BQ45" s="304">
        <v>39.39310564731386</v>
      </c>
      <c r="BR45" s="304"/>
      <c r="BS45" s="303">
        <v>238.00006562969247</v>
      </c>
      <c r="BT45" s="303"/>
      <c r="BU45" s="304">
        <v>264.1429277347429</v>
      </c>
      <c r="BV45" s="304"/>
      <c r="BW45" s="303">
        <v>180.29186363545159</v>
      </c>
      <c r="BX45" s="303"/>
      <c r="BY45" s="304">
        <v>148.53987143150107</v>
      </c>
      <c r="BZ45" s="304"/>
      <c r="CA45" s="303">
        <v>375.16456919537063</v>
      </c>
      <c r="CB45" s="303"/>
      <c r="CC45" s="304">
        <v>173.0438877667923</v>
      </c>
      <c r="CD45" s="304"/>
      <c r="CE45" s="303">
        <v>162.33355733843541</v>
      </c>
      <c r="CF45" s="303"/>
      <c r="CG45" s="304">
        <v>318.31046135090492</v>
      </c>
      <c r="CH45" s="304"/>
      <c r="CI45" s="303">
        <v>678.51368030851199</v>
      </c>
      <c r="CJ45" s="303"/>
      <c r="CK45" s="304">
        <v>758.6416025244248</v>
      </c>
      <c r="CL45" s="304"/>
      <c r="CM45" s="303">
        <v>962.83651967221317</v>
      </c>
      <c r="CN45" s="303"/>
      <c r="CO45" s="304">
        <v>963.88354550197641</v>
      </c>
      <c r="CP45" s="304"/>
      <c r="CQ45" s="303">
        <v>747.12998566257988</v>
      </c>
      <c r="CR45" s="303"/>
      <c r="CS45" s="304">
        <v>1113.0628772421389</v>
      </c>
      <c r="CT45" s="304"/>
      <c r="CU45" s="303">
        <v>1293.1929642628645</v>
      </c>
      <c r="CV45" s="303"/>
      <c r="CW45" s="304">
        <v>811.29345252517419</v>
      </c>
      <c r="CX45" s="304"/>
      <c r="CY45" s="303">
        <v>804.07989519833654</v>
      </c>
      <c r="CZ45" s="303"/>
      <c r="DA45" s="304">
        <v>788.07361176524455</v>
      </c>
      <c r="DB45" s="304"/>
    </row>
    <row r="46" spans="2:106" ht="14.25" customHeight="1" x14ac:dyDescent="0.25">
      <c r="B46" s="393"/>
      <c r="C46" s="393"/>
      <c r="D46" s="393"/>
      <c r="E46" s="393"/>
      <c r="F46" s="393"/>
      <c r="G46" s="407"/>
      <c r="H46" s="407"/>
      <c r="I46" s="408"/>
      <c r="J46" s="408"/>
      <c r="K46" s="407"/>
      <c r="L46" s="407"/>
      <c r="M46" s="408"/>
      <c r="N46" s="408"/>
      <c r="O46" s="407"/>
      <c r="P46" s="407"/>
      <c r="Q46" s="408"/>
      <c r="R46" s="408"/>
      <c r="S46" s="407"/>
      <c r="T46" s="407"/>
      <c r="U46" s="408"/>
      <c r="V46" s="408"/>
      <c r="W46" s="407"/>
      <c r="X46" s="407"/>
      <c r="Y46" s="408"/>
      <c r="Z46" s="408"/>
      <c r="AA46" s="407"/>
      <c r="AB46" s="407"/>
      <c r="AC46" s="408"/>
      <c r="AD46" s="408"/>
      <c r="AE46" s="407"/>
      <c r="AF46" s="407"/>
      <c r="AG46" s="408"/>
      <c r="AH46" s="408"/>
      <c r="AI46" s="409"/>
      <c r="AJ46" s="409"/>
      <c r="AK46" s="408"/>
      <c r="AL46" s="408"/>
      <c r="AM46" s="407"/>
      <c r="AN46" s="407"/>
      <c r="AO46" s="408"/>
      <c r="AP46" s="408"/>
      <c r="AQ46" s="407"/>
      <c r="AR46" s="407"/>
      <c r="AS46" s="408"/>
      <c r="AT46" s="408"/>
      <c r="AU46" s="407"/>
      <c r="AV46" s="407"/>
      <c r="AW46" s="408"/>
      <c r="AX46" s="408"/>
      <c r="AY46" s="407"/>
      <c r="AZ46" s="407"/>
      <c r="BA46" s="408"/>
      <c r="BB46" s="408"/>
      <c r="BC46" s="407"/>
      <c r="BD46" s="407"/>
      <c r="BE46" s="408"/>
      <c r="BF46" s="408"/>
      <c r="BG46" s="407"/>
      <c r="BH46" s="407"/>
      <c r="BI46" s="408"/>
      <c r="BJ46" s="408"/>
      <c r="BK46" s="407"/>
      <c r="BL46" s="407"/>
      <c r="BM46" s="408"/>
      <c r="BN46" s="408"/>
      <c r="BO46" s="407"/>
      <c r="BP46" s="407"/>
      <c r="BQ46" s="408"/>
      <c r="BR46" s="408"/>
      <c r="BS46" s="407"/>
      <c r="BT46" s="407"/>
      <c r="BU46" s="408"/>
      <c r="BV46" s="408"/>
      <c r="BW46" s="407"/>
      <c r="BX46" s="407"/>
      <c r="BY46" s="408"/>
      <c r="BZ46" s="408"/>
      <c r="CA46" s="407"/>
      <c r="CB46" s="407"/>
      <c r="CC46" s="408"/>
      <c r="CD46" s="408"/>
      <c r="CE46" s="407"/>
      <c r="CF46" s="407"/>
      <c r="CG46" s="408"/>
      <c r="CH46" s="408"/>
      <c r="CI46" s="407"/>
      <c r="CJ46" s="407"/>
      <c r="CK46" s="408"/>
      <c r="CL46" s="408"/>
      <c r="CM46" s="407"/>
      <c r="CN46" s="407"/>
      <c r="CO46" s="408"/>
      <c r="CP46" s="408"/>
      <c r="CQ46" s="407"/>
      <c r="CR46" s="407"/>
      <c r="CS46" s="408"/>
      <c r="CT46" s="408"/>
      <c r="CU46" s="407"/>
      <c r="CV46" s="407"/>
      <c r="CW46" s="408"/>
      <c r="CX46" s="408"/>
      <c r="CY46" s="407"/>
      <c r="CZ46" s="407"/>
      <c r="DA46" s="408"/>
      <c r="DB46" s="408"/>
    </row>
    <row r="47" spans="2:106" s="274" customFormat="1" ht="14.25" customHeight="1" x14ac:dyDescent="0.2">
      <c r="B47" s="405" t="s">
        <v>619</v>
      </c>
      <c r="C47" s="287"/>
      <c r="D47" s="287"/>
      <c r="E47" s="405"/>
      <c r="F47" s="405"/>
      <c r="G47" s="420"/>
      <c r="H47" s="298">
        <v>23749.157276268288</v>
      </c>
      <c r="I47" s="418"/>
      <c r="J47" s="299">
        <v>24506.914006359402</v>
      </c>
      <c r="K47" s="420"/>
      <c r="L47" s="298">
        <v>25029.31102778437</v>
      </c>
      <c r="M47" s="418"/>
      <c r="N47" s="299">
        <v>25499.563368949475</v>
      </c>
      <c r="O47" s="420"/>
      <c r="P47" s="298">
        <v>25178.182013443271</v>
      </c>
      <c r="Q47" s="418"/>
      <c r="R47" s="299">
        <v>25297.277057112213</v>
      </c>
      <c r="S47" s="420"/>
      <c r="T47" s="298">
        <v>25704.614603101974</v>
      </c>
      <c r="U47" s="418"/>
      <c r="V47" s="299">
        <v>25722.796920741537</v>
      </c>
      <c r="W47" s="420"/>
      <c r="X47" s="298">
        <v>25630.274381284824</v>
      </c>
      <c r="Y47" s="418"/>
      <c r="Z47" s="299">
        <v>25935.941182467301</v>
      </c>
      <c r="AA47" s="420"/>
      <c r="AB47" s="298">
        <v>26863.936760873785</v>
      </c>
      <c r="AC47" s="418"/>
      <c r="AD47" s="299">
        <v>27143.50236406878</v>
      </c>
      <c r="AE47" s="420"/>
      <c r="AF47" s="298">
        <v>27210.116181819176</v>
      </c>
      <c r="AG47" s="418"/>
      <c r="AH47" s="299">
        <v>26342.191546998474</v>
      </c>
      <c r="AI47" s="421"/>
      <c r="AJ47" s="300">
        <v>26899.321860156084</v>
      </c>
      <c r="AK47" s="418"/>
      <c r="AL47" s="299">
        <v>27924.17525095382</v>
      </c>
      <c r="AM47" s="420"/>
      <c r="AN47" s="298">
        <v>28446.143432741257</v>
      </c>
      <c r="AO47" s="418"/>
      <c r="AP47" s="299">
        <v>28884.493799333835</v>
      </c>
      <c r="AQ47" s="420"/>
      <c r="AR47" s="298">
        <v>29212.877595465463</v>
      </c>
      <c r="AS47" s="418"/>
      <c r="AT47" s="299">
        <v>28752.548451557697</v>
      </c>
      <c r="AU47" s="417"/>
      <c r="AV47" s="298">
        <v>29023.771758469538</v>
      </c>
      <c r="AW47" s="418"/>
      <c r="AX47" s="299">
        <v>30450.310749526332</v>
      </c>
      <c r="AY47" s="417"/>
      <c r="AZ47" s="298">
        <v>30109.493566314362</v>
      </c>
      <c r="BA47" s="418"/>
      <c r="BB47" s="299">
        <v>29991.559266956116</v>
      </c>
      <c r="BC47" s="417"/>
      <c r="BD47" s="298">
        <v>29998.374334523091</v>
      </c>
      <c r="BE47" s="418"/>
      <c r="BF47" s="299">
        <v>30320.033271987417</v>
      </c>
      <c r="BG47" s="417"/>
      <c r="BH47" s="298">
        <v>31480.906622056187</v>
      </c>
      <c r="BI47" s="418"/>
      <c r="BJ47" s="299">
        <v>31115.13945614588</v>
      </c>
      <c r="BK47" s="417"/>
      <c r="BL47" s="298">
        <v>31150.224473320348</v>
      </c>
      <c r="BM47" s="418"/>
      <c r="BN47" s="299">
        <v>31353.215953423896</v>
      </c>
      <c r="BO47" s="417"/>
      <c r="BP47" s="298">
        <v>31507.596104942015</v>
      </c>
      <c r="BQ47" s="418"/>
      <c r="BR47" s="299">
        <v>32294.806735206588</v>
      </c>
      <c r="BS47" s="417"/>
      <c r="BT47" s="298">
        <v>31781.474043545226</v>
      </c>
      <c r="BU47" s="418"/>
      <c r="BV47" s="299">
        <v>30564.505719364082</v>
      </c>
      <c r="BW47" s="417"/>
      <c r="BX47" s="298">
        <v>29611.280466206601</v>
      </c>
      <c r="BY47" s="418"/>
      <c r="BZ47" s="299">
        <v>29223.805576314615</v>
      </c>
      <c r="CA47" s="417"/>
      <c r="CB47" s="298">
        <v>28753.266802081504</v>
      </c>
      <c r="CC47" s="418"/>
      <c r="CD47" s="299">
        <v>29496.626796622582</v>
      </c>
      <c r="CE47" s="417"/>
      <c r="CF47" s="298">
        <v>30272.076233867912</v>
      </c>
      <c r="CG47" s="418"/>
      <c r="CH47" s="299">
        <v>30021.311581931033</v>
      </c>
      <c r="CI47" s="417"/>
      <c r="CJ47" s="298">
        <v>29676.805974990639</v>
      </c>
      <c r="CK47" s="418"/>
      <c r="CL47" s="299">
        <v>30846.785903036889</v>
      </c>
      <c r="CM47" s="417"/>
      <c r="CN47" s="298">
        <v>30424.147134517625</v>
      </c>
      <c r="CO47" s="418"/>
      <c r="CP47" s="299">
        <v>30465.101976109931</v>
      </c>
      <c r="CQ47" s="417"/>
      <c r="CR47" s="298">
        <v>31205.676794849915</v>
      </c>
      <c r="CS47" s="418"/>
      <c r="CT47" s="299">
        <v>30169.836140473493</v>
      </c>
      <c r="CU47" s="417"/>
      <c r="CV47" s="298">
        <v>30664.59401386703</v>
      </c>
      <c r="CW47" s="418"/>
      <c r="CX47" s="299">
        <v>30694.8281714892</v>
      </c>
      <c r="CY47" s="417"/>
      <c r="CZ47" s="298">
        <v>30630.580402239539</v>
      </c>
      <c r="DA47" s="418"/>
      <c r="DB47" s="299">
        <v>31215.396508756057</v>
      </c>
    </row>
    <row r="48" spans="2:106" ht="14.25" customHeight="1" x14ac:dyDescent="0.25">
      <c r="B48" s="406" t="s">
        <v>730</v>
      </c>
      <c r="C48" s="393"/>
      <c r="D48" s="393"/>
      <c r="E48" s="406"/>
      <c r="F48" s="406"/>
      <c r="G48" s="414"/>
      <c r="H48" s="303">
        <v>2510.2883220799995</v>
      </c>
      <c r="I48" s="408"/>
      <c r="J48" s="304">
        <v>2055.7565815889502</v>
      </c>
      <c r="K48" s="414"/>
      <c r="L48" s="303">
        <v>1903.578587625</v>
      </c>
      <c r="M48" s="408"/>
      <c r="N48" s="304">
        <v>1717.4945872435865</v>
      </c>
      <c r="O48" s="414"/>
      <c r="P48" s="303">
        <v>1442.8729085586192</v>
      </c>
      <c r="Q48" s="408"/>
      <c r="R48" s="304">
        <v>1247.7876125</v>
      </c>
      <c r="S48" s="414"/>
      <c r="T48" s="303">
        <v>1069.2771862499999</v>
      </c>
      <c r="U48" s="408"/>
      <c r="V48" s="304">
        <v>969.00271000000021</v>
      </c>
      <c r="W48" s="414"/>
      <c r="X48" s="303">
        <v>846.27975249999997</v>
      </c>
      <c r="Y48" s="408"/>
      <c r="Z48" s="304">
        <v>692.20677824999996</v>
      </c>
      <c r="AA48" s="414"/>
      <c r="AB48" s="303">
        <v>558.13926349999997</v>
      </c>
      <c r="AC48" s="408"/>
      <c r="AD48" s="304">
        <v>601.41138023538974</v>
      </c>
      <c r="AE48" s="414"/>
      <c r="AF48" s="303">
        <v>503.9494176528674</v>
      </c>
      <c r="AG48" s="408"/>
      <c r="AH48" s="304">
        <v>553.91571248990419</v>
      </c>
      <c r="AI48" s="416"/>
      <c r="AJ48" s="305">
        <v>465.58662827261122</v>
      </c>
      <c r="AK48" s="408"/>
      <c r="AL48" s="304">
        <v>381.57102823973179</v>
      </c>
      <c r="AM48" s="414"/>
      <c r="AN48" s="303">
        <v>508.33648674727283</v>
      </c>
      <c r="AO48" s="408"/>
      <c r="AP48" s="304">
        <v>765.40913619513412</v>
      </c>
      <c r="AQ48" s="414"/>
      <c r="AR48" s="303">
        <v>781.28062774251873</v>
      </c>
      <c r="AS48" s="408"/>
      <c r="AT48" s="304">
        <v>1006.0221659470773</v>
      </c>
      <c r="AU48" s="407"/>
      <c r="AV48" s="303">
        <v>997.92466193267114</v>
      </c>
      <c r="AW48" s="408"/>
      <c r="AX48" s="304">
        <v>992.16888706248267</v>
      </c>
      <c r="AY48" s="407"/>
      <c r="AZ48" s="303">
        <v>992.91827124782844</v>
      </c>
      <c r="BA48" s="408"/>
      <c r="BB48" s="304">
        <v>1159.0611363723956</v>
      </c>
      <c r="BC48" s="407"/>
      <c r="BD48" s="303">
        <v>1136.6300104425286</v>
      </c>
      <c r="BE48" s="408"/>
      <c r="BF48" s="304">
        <v>1314.7789119816225</v>
      </c>
      <c r="BG48" s="407"/>
      <c r="BH48" s="303">
        <v>1299.6029983138906</v>
      </c>
      <c r="BI48" s="408"/>
      <c r="BJ48" s="304">
        <v>1309.9791273514572</v>
      </c>
      <c r="BK48" s="407"/>
      <c r="BL48" s="303">
        <v>1340.3358654938702</v>
      </c>
      <c r="BM48" s="408"/>
      <c r="BN48" s="304">
        <v>1378.0140189995934</v>
      </c>
      <c r="BO48" s="407"/>
      <c r="BP48" s="303">
        <v>1335.3487821887011</v>
      </c>
      <c r="BQ48" s="408"/>
      <c r="BR48" s="304">
        <v>1315.5270162600223</v>
      </c>
      <c r="BS48" s="407"/>
      <c r="BT48" s="303">
        <v>1299.3421711080841</v>
      </c>
      <c r="BU48" s="408"/>
      <c r="BV48" s="304">
        <v>1264.6419572789121</v>
      </c>
      <c r="BW48" s="407"/>
      <c r="BX48" s="303">
        <v>1233.4919558908696</v>
      </c>
      <c r="BY48" s="408"/>
      <c r="BZ48" s="304">
        <v>1138.5555772495529</v>
      </c>
      <c r="CA48" s="407"/>
      <c r="CB48" s="303">
        <v>1084.6912822432075</v>
      </c>
      <c r="CC48" s="408"/>
      <c r="CD48" s="304">
        <v>1062.0451443620941</v>
      </c>
      <c r="CE48" s="407"/>
      <c r="CF48" s="303">
        <v>1059.896669836354</v>
      </c>
      <c r="CG48" s="408"/>
      <c r="CH48" s="304">
        <v>981.96924675585274</v>
      </c>
      <c r="CI48" s="407"/>
      <c r="CJ48" s="303">
        <v>954.96658969735654</v>
      </c>
      <c r="CK48" s="408"/>
      <c r="CL48" s="304">
        <v>904.31579708748973</v>
      </c>
      <c r="CM48" s="407"/>
      <c r="CN48" s="303">
        <v>871.89181817017322</v>
      </c>
      <c r="CO48" s="408"/>
      <c r="CP48" s="304">
        <v>775.33000714515401</v>
      </c>
      <c r="CQ48" s="407"/>
      <c r="CR48" s="303">
        <v>785.96301200946027</v>
      </c>
      <c r="CS48" s="408"/>
      <c r="CT48" s="304">
        <v>666.56367217295042</v>
      </c>
      <c r="CU48" s="407"/>
      <c r="CV48" s="303">
        <v>662.96064107729046</v>
      </c>
      <c r="CW48" s="408"/>
      <c r="CX48" s="304">
        <v>591.84780531764454</v>
      </c>
      <c r="CY48" s="407"/>
      <c r="CZ48" s="303">
        <v>576.84261967683119</v>
      </c>
      <c r="DA48" s="408"/>
      <c r="DB48" s="304">
        <v>481.23476814261812</v>
      </c>
    </row>
    <row r="49" spans="2:106" ht="14.25" customHeight="1" x14ac:dyDescent="0.25">
      <c r="B49" s="406" t="s">
        <v>731</v>
      </c>
      <c r="C49" s="393"/>
      <c r="D49" s="393"/>
      <c r="E49" s="406"/>
      <c r="F49" s="406"/>
      <c r="G49" s="414"/>
      <c r="H49" s="303">
        <v>2510.2883220799995</v>
      </c>
      <c r="I49" s="408"/>
      <c r="J49" s="304">
        <v>2055.7565815889502</v>
      </c>
      <c r="K49" s="414"/>
      <c r="L49" s="303">
        <v>1903.578587625</v>
      </c>
      <c r="M49" s="408"/>
      <c r="N49" s="304">
        <v>1717.4945872435865</v>
      </c>
      <c r="O49" s="414"/>
      <c r="P49" s="303">
        <v>1442.8729085586192</v>
      </c>
      <c r="Q49" s="408"/>
      <c r="R49" s="304">
        <v>1247.7876125</v>
      </c>
      <c r="S49" s="414"/>
      <c r="T49" s="303">
        <v>1069.2771862499999</v>
      </c>
      <c r="U49" s="408"/>
      <c r="V49" s="304">
        <v>969.00271000000021</v>
      </c>
      <c r="W49" s="414"/>
      <c r="X49" s="303">
        <v>846.27975249999997</v>
      </c>
      <c r="Y49" s="408"/>
      <c r="Z49" s="304">
        <v>692.20677824999996</v>
      </c>
      <c r="AA49" s="414"/>
      <c r="AB49" s="303">
        <v>558.13926349999997</v>
      </c>
      <c r="AC49" s="408"/>
      <c r="AD49" s="304">
        <v>601.41138023538974</v>
      </c>
      <c r="AE49" s="414"/>
      <c r="AF49" s="303">
        <v>503.9494176528674</v>
      </c>
      <c r="AG49" s="408"/>
      <c r="AH49" s="304">
        <v>553.91571248990419</v>
      </c>
      <c r="AI49" s="416"/>
      <c r="AJ49" s="305">
        <v>465.58662827261122</v>
      </c>
      <c r="AK49" s="408"/>
      <c r="AL49" s="304">
        <v>381.57102823973179</v>
      </c>
      <c r="AM49" s="414"/>
      <c r="AN49" s="303">
        <v>508.33648674727283</v>
      </c>
      <c r="AO49" s="408"/>
      <c r="AP49" s="304">
        <v>765.40913619513412</v>
      </c>
      <c r="AQ49" s="414"/>
      <c r="AR49" s="303">
        <v>781.28062774251873</v>
      </c>
      <c r="AS49" s="408"/>
      <c r="AT49" s="304">
        <v>1006.0221659470773</v>
      </c>
      <c r="AU49" s="407"/>
      <c r="AV49" s="303">
        <v>997.92466193267114</v>
      </c>
      <c r="AW49" s="408"/>
      <c r="AX49" s="304">
        <v>992.16888706248267</v>
      </c>
      <c r="AY49" s="407"/>
      <c r="AZ49" s="303">
        <v>992.91827124782844</v>
      </c>
      <c r="BA49" s="408"/>
      <c r="BB49" s="304">
        <v>1159.0611363723956</v>
      </c>
      <c r="BC49" s="407"/>
      <c r="BD49" s="303">
        <v>1136.6300104425286</v>
      </c>
      <c r="BE49" s="408"/>
      <c r="BF49" s="304">
        <v>1314.7789119816225</v>
      </c>
      <c r="BG49" s="407"/>
      <c r="BH49" s="303">
        <v>1299.6029983138906</v>
      </c>
      <c r="BI49" s="408"/>
      <c r="BJ49" s="304">
        <v>1309.9791273514572</v>
      </c>
      <c r="BK49" s="407"/>
      <c r="BL49" s="303">
        <v>1340.3358654938702</v>
      </c>
      <c r="BM49" s="408"/>
      <c r="BN49" s="304">
        <v>1378.0140189995934</v>
      </c>
      <c r="BO49" s="407"/>
      <c r="BP49" s="303">
        <v>1335.3487821887011</v>
      </c>
      <c r="BQ49" s="408"/>
      <c r="BR49" s="304">
        <v>1315.5270162600223</v>
      </c>
      <c r="BS49" s="407"/>
      <c r="BT49" s="303">
        <v>1299.3421711080841</v>
      </c>
      <c r="BU49" s="408"/>
      <c r="BV49" s="304">
        <v>1264.6419572789121</v>
      </c>
      <c r="BW49" s="407"/>
      <c r="BX49" s="303">
        <v>1233.4919558908696</v>
      </c>
      <c r="BY49" s="408"/>
      <c r="BZ49" s="304">
        <v>1138.5555772495529</v>
      </c>
      <c r="CA49" s="407"/>
      <c r="CB49" s="303">
        <v>1084.6912822432075</v>
      </c>
      <c r="CC49" s="408"/>
      <c r="CD49" s="304">
        <v>1062.0451443620941</v>
      </c>
      <c r="CE49" s="407"/>
      <c r="CF49" s="303">
        <v>1059.896669836354</v>
      </c>
      <c r="CG49" s="408"/>
      <c r="CH49" s="304">
        <v>981.96924675585274</v>
      </c>
      <c r="CI49" s="407"/>
      <c r="CJ49" s="303">
        <v>954.96658969735654</v>
      </c>
      <c r="CK49" s="408"/>
      <c r="CL49" s="304">
        <v>904.31579708748973</v>
      </c>
      <c r="CM49" s="407"/>
      <c r="CN49" s="303">
        <v>871.89181817017322</v>
      </c>
      <c r="CO49" s="408"/>
      <c r="CP49" s="304">
        <v>775.33000714515401</v>
      </c>
      <c r="CQ49" s="407"/>
      <c r="CR49" s="303">
        <v>785.96301200946027</v>
      </c>
      <c r="CS49" s="408"/>
      <c r="CT49" s="304">
        <v>666.56367217295042</v>
      </c>
      <c r="CU49" s="407"/>
      <c r="CV49" s="303">
        <v>662.96064107729046</v>
      </c>
      <c r="CW49" s="408"/>
      <c r="CX49" s="304">
        <v>591.84780531764454</v>
      </c>
      <c r="CY49" s="407"/>
      <c r="CZ49" s="303">
        <v>576.84261967683119</v>
      </c>
      <c r="DA49" s="408"/>
      <c r="DB49" s="304">
        <v>481.23476814261812</v>
      </c>
    </row>
    <row r="50" spans="2:106" ht="14.25" customHeight="1" x14ac:dyDescent="0.25">
      <c r="B50" s="406" t="s">
        <v>732</v>
      </c>
      <c r="C50" s="393"/>
      <c r="D50" s="393"/>
      <c r="E50" s="406"/>
      <c r="F50" s="406"/>
      <c r="G50" s="414"/>
      <c r="H50" s="303">
        <v>2799.9641752151911</v>
      </c>
      <c r="I50" s="408"/>
      <c r="J50" s="304">
        <v>2924.2292119864151</v>
      </c>
      <c r="K50" s="414"/>
      <c r="L50" s="303">
        <v>2642.3505966411221</v>
      </c>
      <c r="M50" s="408"/>
      <c r="N50" s="304">
        <v>2988.5130903182635</v>
      </c>
      <c r="O50" s="414"/>
      <c r="P50" s="303">
        <v>3529.4840607899187</v>
      </c>
      <c r="Q50" s="408"/>
      <c r="R50" s="304">
        <v>4282.0747146610456</v>
      </c>
      <c r="S50" s="414"/>
      <c r="T50" s="303">
        <v>4816.689467427479</v>
      </c>
      <c r="U50" s="408"/>
      <c r="V50" s="304">
        <v>4731.14868269201</v>
      </c>
      <c r="W50" s="414"/>
      <c r="X50" s="303">
        <v>4755.6259596534792</v>
      </c>
      <c r="Y50" s="408"/>
      <c r="Z50" s="304">
        <v>5069.5547939635871</v>
      </c>
      <c r="AA50" s="414"/>
      <c r="AB50" s="303">
        <v>5659.4418781714339</v>
      </c>
      <c r="AC50" s="408"/>
      <c r="AD50" s="304">
        <v>5494.0681298129857</v>
      </c>
      <c r="AE50" s="414"/>
      <c r="AF50" s="303">
        <v>4905.6864839966693</v>
      </c>
      <c r="AG50" s="408"/>
      <c r="AH50" s="304">
        <v>4562.277404900884</v>
      </c>
      <c r="AI50" s="416"/>
      <c r="AJ50" s="305">
        <v>5030.4509352312998</v>
      </c>
      <c r="AK50" s="408"/>
      <c r="AL50" s="304">
        <v>5188.2234024644949</v>
      </c>
      <c r="AM50" s="414"/>
      <c r="AN50" s="303">
        <v>4972.2215720193208</v>
      </c>
      <c r="AO50" s="408"/>
      <c r="AP50" s="304">
        <v>4832.9365511764145</v>
      </c>
      <c r="AQ50" s="414"/>
      <c r="AR50" s="303">
        <v>4582.1068183368525</v>
      </c>
      <c r="AS50" s="408"/>
      <c r="AT50" s="304">
        <v>4628.5383773715876</v>
      </c>
      <c r="AU50" s="407"/>
      <c r="AV50" s="303">
        <v>5111.8736503316104</v>
      </c>
      <c r="AW50" s="408"/>
      <c r="AX50" s="304">
        <v>5530.2150641473499</v>
      </c>
      <c r="AY50" s="407"/>
      <c r="AZ50" s="303">
        <v>5042.4580949776337</v>
      </c>
      <c r="BA50" s="408"/>
      <c r="BB50" s="304">
        <v>5040.7616090262691</v>
      </c>
      <c r="BC50" s="407"/>
      <c r="BD50" s="303">
        <v>5228.0618374241812</v>
      </c>
      <c r="BE50" s="408"/>
      <c r="BF50" s="304">
        <v>5248.8865100464573</v>
      </c>
      <c r="BG50" s="407"/>
      <c r="BH50" s="303">
        <v>6209.8395158967223</v>
      </c>
      <c r="BI50" s="408"/>
      <c r="BJ50" s="304">
        <v>5938.6019468149543</v>
      </c>
      <c r="BK50" s="407"/>
      <c r="BL50" s="303">
        <v>5777.5366261613235</v>
      </c>
      <c r="BM50" s="408"/>
      <c r="BN50" s="304">
        <v>5324.0909252203146</v>
      </c>
      <c r="BO50" s="407"/>
      <c r="BP50" s="303">
        <v>4770.5238759142649</v>
      </c>
      <c r="BQ50" s="408"/>
      <c r="BR50" s="304">
        <v>4955.6122666015544</v>
      </c>
      <c r="BS50" s="407"/>
      <c r="BT50" s="303">
        <v>4405.4275136868091</v>
      </c>
      <c r="BU50" s="408"/>
      <c r="BV50" s="304">
        <v>3172.1308563099524</v>
      </c>
      <c r="BW50" s="407"/>
      <c r="BX50" s="303">
        <v>2513.926900866154</v>
      </c>
      <c r="BY50" s="408"/>
      <c r="BZ50" s="304">
        <v>2047.0914966610067</v>
      </c>
      <c r="CA50" s="407"/>
      <c r="CB50" s="303">
        <v>1704.2053229005855</v>
      </c>
      <c r="CC50" s="408"/>
      <c r="CD50" s="304">
        <v>1527.3490908370804</v>
      </c>
      <c r="CE50" s="407"/>
      <c r="CF50" s="303">
        <v>1364.0091118706205</v>
      </c>
      <c r="CG50" s="408"/>
      <c r="CH50" s="304">
        <v>1080.7937360985097</v>
      </c>
      <c r="CI50" s="407"/>
      <c r="CJ50" s="303">
        <v>926.15610411865737</v>
      </c>
      <c r="CK50" s="408"/>
      <c r="CL50" s="304">
        <v>883.06938089301229</v>
      </c>
      <c r="CM50" s="407"/>
      <c r="CN50" s="303">
        <v>948.78904945986096</v>
      </c>
      <c r="CO50" s="408"/>
      <c r="CP50" s="304">
        <v>795.34274586662582</v>
      </c>
      <c r="CQ50" s="407"/>
      <c r="CR50" s="303">
        <v>710.20094203159806</v>
      </c>
      <c r="CS50" s="408"/>
      <c r="CT50" s="304">
        <v>897.23113942025554</v>
      </c>
      <c r="CU50" s="407"/>
      <c r="CV50" s="303">
        <v>764.73268467062485</v>
      </c>
      <c r="CW50" s="408"/>
      <c r="CX50" s="304">
        <v>802.94997546586069</v>
      </c>
      <c r="CY50" s="407"/>
      <c r="CZ50" s="303">
        <v>821.24523649204912</v>
      </c>
      <c r="DA50" s="408"/>
      <c r="DB50" s="304">
        <v>1035.1841168400308</v>
      </c>
    </row>
    <row r="51" spans="2:106" ht="14.25" customHeight="1" x14ac:dyDescent="0.25">
      <c r="B51" s="406" t="s">
        <v>642</v>
      </c>
      <c r="C51" s="393"/>
      <c r="D51" s="393"/>
      <c r="E51" s="406"/>
      <c r="F51" s="406"/>
      <c r="G51" s="414"/>
      <c r="H51" s="303">
        <v>2127.3029598099997</v>
      </c>
      <c r="I51" s="408"/>
      <c r="J51" s="304">
        <v>2003.1459791068519</v>
      </c>
      <c r="K51" s="414"/>
      <c r="L51" s="303">
        <v>1772.3457021900001</v>
      </c>
      <c r="M51" s="408"/>
      <c r="N51" s="304">
        <v>2145.7325564795046</v>
      </c>
      <c r="O51" s="414"/>
      <c r="P51" s="303">
        <v>2426.3741685</v>
      </c>
      <c r="Q51" s="408"/>
      <c r="R51" s="304">
        <v>3159.2376320800072</v>
      </c>
      <c r="S51" s="414"/>
      <c r="T51" s="303">
        <v>3482.8481967175826</v>
      </c>
      <c r="U51" s="408"/>
      <c r="V51" s="304">
        <v>3615.2233722537153</v>
      </c>
      <c r="W51" s="414"/>
      <c r="X51" s="303">
        <v>3522.3290489294818</v>
      </c>
      <c r="Y51" s="408"/>
      <c r="Z51" s="304">
        <v>3816.1843689770958</v>
      </c>
      <c r="AA51" s="414"/>
      <c r="AB51" s="303">
        <v>4043.8669712968344</v>
      </c>
      <c r="AC51" s="408"/>
      <c r="AD51" s="304">
        <v>3977.0767491717479</v>
      </c>
      <c r="AE51" s="414"/>
      <c r="AF51" s="303">
        <v>3462.8703687886282</v>
      </c>
      <c r="AG51" s="408"/>
      <c r="AH51" s="304">
        <v>3208.5304215792357</v>
      </c>
      <c r="AI51" s="416"/>
      <c r="AJ51" s="305">
        <v>3563.1017054530744</v>
      </c>
      <c r="AK51" s="408"/>
      <c r="AL51" s="304">
        <v>3658.7013832718167</v>
      </c>
      <c r="AM51" s="414"/>
      <c r="AN51" s="303">
        <v>3136.2389926185342</v>
      </c>
      <c r="AO51" s="408"/>
      <c r="AP51" s="304">
        <v>2928.5018648616629</v>
      </c>
      <c r="AQ51" s="414"/>
      <c r="AR51" s="303">
        <v>2723.581368380183</v>
      </c>
      <c r="AS51" s="408"/>
      <c r="AT51" s="304">
        <v>2742.9297869833222</v>
      </c>
      <c r="AU51" s="407"/>
      <c r="AV51" s="303">
        <v>3182.054422547109</v>
      </c>
      <c r="AW51" s="408"/>
      <c r="AX51" s="304">
        <v>3772.2221375799995</v>
      </c>
      <c r="AY51" s="407"/>
      <c r="AZ51" s="303">
        <v>3544.0205168999996</v>
      </c>
      <c r="BA51" s="408"/>
      <c r="BB51" s="304">
        <v>3509.1555121599999</v>
      </c>
      <c r="BC51" s="407"/>
      <c r="BD51" s="303">
        <v>3475.3213474753552</v>
      </c>
      <c r="BE51" s="408"/>
      <c r="BF51" s="304">
        <v>3770.85973087</v>
      </c>
      <c r="BG51" s="407"/>
      <c r="BH51" s="303">
        <v>4622.6381445392026</v>
      </c>
      <c r="BI51" s="408"/>
      <c r="BJ51" s="304">
        <v>4558.021090332426</v>
      </c>
      <c r="BK51" s="407"/>
      <c r="BL51" s="303">
        <v>4647.5222124147886</v>
      </c>
      <c r="BM51" s="408"/>
      <c r="BN51" s="304">
        <v>4173.9706138826205</v>
      </c>
      <c r="BO51" s="407"/>
      <c r="BP51" s="303">
        <v>3801.9305928354447</v>
      </c>
      <c r="BQ51" s="408"/>
      <c r="BR51" s="304">
        <v>3797.3819908260616</v>
      </c>
      <c r="BS51" s="407"/>
      <c r="BT51" s="303">
        <v>3231.7328001102742</v>
      </c>
      <c r="BU51" s="408"/>
      <c r="BV51" s="304">
        <v>2004.6465813199998</v>
      </c>
      <c r="BW51" s="407"/>
      <c r="BX51" s="303">
        <v>1441.8497028661538</v>
      </c>
      <c r="BY51" s="408"/>
      <c r="BZ51" s="304">
        <v>1005.5176445610066</v>
      </c>
      <c r="CA51" s="407"/>
      <c r="CB51" s="303">
        <v>792.59717400058571</v>
      </c>
      <c r="CC51" s="408"/>
      <c r="CD51" s="304">
        <v>704.00571335708048</v>
      </c>
      <c r="CE51" s="407"/>
      <c r="CF51" s="303">
        <v>555.50107674062031</v>
      </c>
      <c r="CG51" s="408"/>
      <c r="CH51" s="304">
        <v>483.76257451850978</v>
      </c>
      <c r="CI51" s="407"/>
      <c r="CJ51" s="303">
        <v>283.6031801986573</v>
      </c>
      <c r="CK51" s="408"/>
      <c r="CL51" s="304">
        <v>307.39417492301214</v>
      </c>
      <c r="CM51" s="407"/>
      <c r="CN51" s="303">
        <v>336.71664388354083</v>
      </c>
      <c r="CO51" s="408"/>
      <c r="CP51" s="304">
        <v>275.11169722472181</v>
      </c>
      <c r="CQ51" s="407"/>
      <c r="CR51" s="303">
        <v>262.84353257918917</v>
      </c>
      <c r="CS51" s="408"/>
      <c r="CT51" s="304">
        <v>452.61350983914281</v>
      </c>
      <c r="CU51" s="407"/>
      <c r="CV51" s="303">
        <v>378.47273387757053</v>
      </c>
      <c r="CW51" s="408"/>
      <c r="CX51" s="304">
        <v>500.10082493109849</v>
      </c>
      <c r="CY51" s="407"/>
      <c r="CZ51" s="303">
        <v>534.94593010019344</v>
      </c>
      <c r="DA51" s="408"/>
      <c r="DB51" s="304">
        <v>671.05086085508344</v>
      </c>
    </row>
    <row r="52" spans="2:106" ht="14.25" customHeight="1" x14ac:dyDescent="0.25">
      <c r="B52" s="406" t="s">
        <v>643</v>
      </c>
      <c r="C52" s="393"/>
      <c r="D52" s="393"/>
      <c r="E52" s="406"/>
      <c r="F52" s="406"/>
      <c r="G52" s="414"/>
      <c r="H52" s="303">
        <v>672.66121540519123</v>
      </c>
      <c r="I52" s="408"/>
      <c r="J52" s="304">
        <v>921.08323287956296</v>
      </c>
      <c r="K52" s="414"/>
      <c r="L52" s="303">
        <v>870.00489445112225</v>
      </c>
      <c r="M52" s="408"/>
      <c r="N52" s="304">
        <v>842.78053383875897</v>
      </c>
      <c r="O52" s="414"/>
      <c r="P52" s="303">
        <v>1103.1098922899187</v>
      </c>
      <c r="Q52" s="408"/>
      <c r="R52" s="304">
        <v>1122.8370825810382</v>
      </c>
      <c r="S52" s="414"/>
      <c r="T52" s="303">
        <v>1333.841270709896</v>
      </c>
      <c r="U52" s="408"/>
      <c r="V52" s="304">
        <v>1115.9253104382944</v>
      </c>
      <c r="W52" s="414"/>
      <c r="X52" s="303">
        <v>1233.2969107239974</v>
      </c>
      <c r="Y52" s="408"/>
      <c r="Z52" s="304">
        <v>1253.3704249864909</v>
      </c>
      <c r="AA52" s="414"/>
      <c r="AB52" s="303">
        <v>1615.5749068745995</v>
      </c>
      <c r="AC52" s="408"/>
      <c r="AD52" s="304">
        <v>1516.9913806412374</v>
      </c>
      <c r="AE52" s="414"/>
      <c r="AF52" s="303">
        <v>1442.8161152080411</v>
      </c>
      <c r="AG52" s="408"/>
      <c r="AH52" s="304">
        <v>1353.7469833216487</v>
      </c>
      <c r="AI52" s="416"/>
      <c r="AJ52" s="305">
        <v>1467.349229778225</v>
      </c>
      <c r="AK52" s="408"/>
      <c r="AL52" s="304">
        <v>1529.5220191926778</v>
      </c>
      <c r="AM52" s="414"/>
      <c r="AN52" s="303">
        <v>1835.9825794007866</v>
      </c>
      <c r="AO52" s="408"/>
      <c r="AP52" s="304">
        <v>1904.4346863147516</v>
      </c>
      <c r="AQ52" s="414"/>
      <c r="AR52" s="303">
        <v>1858.5254499566697</v>
      </c>
      <c r="AS52" s="408"/>
      <c r="AT52" s="304">
        <v>1885.6085903882649</v>
      </c>
      <c r="AU52" s="407"/>
      <c r="AV52" s="303">
        <v>1929.8192277845014</v>
      </c>
      <c r="AW52" s="408"/>
      <c r="AX52" s="304">
        <v>1757.9929265673504</v>
      </c>
      <c r="AY52" s="407"/>
      <c r="AZ52" s="303">
        <v>1498.437578077634</v>
      </c>
      <c r="BA52" s="408"/>
      <c r="BB52" s="304">
        <v>1531.6060968662691</v>
      </c>
      <c r="BC52" s="407"/>
      <c r="BD52" s="303">
        <v>1752.7404899488261</v>
      </c>
      <c r="BE52" s="408"/>
      <c r="BF52" s="304">
        <v>1478.0267791764575</v>
      </c>
      <c r="BG52" s="407"/>
      <c r="BH52" s="303">
        <v>1587.2013713575195</v>
      </c>
      <c r="BI52" s="408"/>
      <c r="BJ52" s="304">
        <v>1380.5808564825284</v>
      </c>
      <c r="BK52" s="407"/>
      <c r="BL52" s="303">
        <v>1130.014413746535</v>
      </c>
      <c r="BM52" s="408"/>
      <c r="BN52" s="304">
        <v>1150.1203113376937</v>
      </c>
      <c r="BO52" s="407"/>
      <c r="BP52" s="303">
        <v>968.5932830788206</v>
      </c>
      <c r="BQ52" s="408"/>
      <c r="BR52" s="304">
        <v>1158.2302757754926</v>
      </c>
      <c r="BS52" s="407"/>
      <c r="BT52" s="303">
        <v>1173.6947135765349</v>
      </c>
      <c r="BU52" s="408"/>
      <c r="BV52" s="304">
        <v>1167.4842749899526</v>
      </c>
      <c r="BW52" s="407"/>
      <c r="BX52" s="303">
        <v>1072.077198</v>
      </c>
      <c r="BY52" s="408"/>
      <c r="BZ52" s="304">
        <v>1041.5738521000001</v>
      </c>
      <c r="CA52" s="407"/>
      <c r="CB52" s="303">
        <v>911.60814889999995</v>
      </c>
      <c r="CC52" s="408"/>
      <c r="CD52" s="304">
        <v>823.34337748000007</v>
      </c>
      <c r="CE52" s="407"/>
      <c r="CF52" s="303">
        <v>808.50803513000017</v>
      </c>
      <c r="CG52" s="408"/>
      <c r="CH52" s="304">
        <v>597.03116157999989</v>
      </c>
      <c r="CI52" s="407"/>
      <c r="CJ52" s="303">
        <v>642.55292392000001</v>
      </c>
      <c r="CK52" s="408"/>
      <c r="CL52" s="304">
        <v>575.67520597000009</v>
      </c>
      <c r="CM52" s="407"/>
      <c r="CN52" s="303">
        <v>612.07240557632008</v>
      </c>
      <c r="CO52" s="408"/>
      <c r="CP52" s="304">
        <v>520.23104864190395</v>
      </c>
      <c r="CQ52" s="407"/>
      <c r="CR52" s="303">
        <v>447.35740945240894</v>
      </c>
      <c r="CS52" s="408"/>
      <c r="CT52" s="304">
        <v>444.61762958111274</v>
      </c>
      <c r="CU52" s="407"/>
      <c r="CV52" s="303">
        <v>386.25995079305426</v>
      </c>
      <c r="CW52" s="408"/>
      <c r="CX52" s="304">
        <v>302.8491505347622</v>
      </c>
      <c r="CY52" s="407"/>
      <c r="CZ52" s="303">
        <v>286.29930639185562</v>
      </c>
      <c r="DA52" s="408"/>
      <c r="DB52" s="304">
        <v>364.13325598494737</v>
      </c>
    </row>
    <row r="53" spans="2:106" ht="14.25" customHeight="1" x14ac:dyDescent="0.25">
      <c r="B53" s="406" t="s">
        <v>733</v>
      </c>
      <c r="C53" s="393"/>
      <c r="D53" s="393"/>
      <c r="E53" s="406"/>
      <c r="F53" s="406"/>
      <c r="G53" s="414"/>
      <c r="H53" s="303">
        <v>15615.652838561389</v>
      </c>
      <c r="I53" s="408"/>
      <c r="J53" s="304">
        <v>15814.359973846011</v>
      </c>
      <c r="K53" s="414"/>
      <c r="L53" s="303">
        <v>16661.589714776597</v>
      </c>
      <c r="M53" s="408"/>
      <c r="N53" s="304">
        <v>16858.948530514521</v>
      </c>
      <c r="O53" s="414"/>
      <c r="P53" s="303">
        <v>16242.61496302731</v>
      </c>
      <c r="Q53" s="408"/>
      <c r="R53" s="304">
        <v>15774.361875242306</v>
      </c>
      <c r="S53" s="414"/>
      <c r="T53" s="303">
        <v>15732.479939442364</v>
      </c>
      <c r="U53" s="408"/>
      <c r="V53" s="304">
        <v>15953.855134525706</v>
      </c>
      <c r="W53" s="414"/>
      <c r="X53" s="303">
        <v>15977.204249450437</v>
      </c>
      <c r="Y53" s="408"/>
      <c r="Z53" s="304">
        <v>16146.528963303579</v>
      </c>
      <c r="AA53" s="414"/>
      <c r="AB53" s="303">
        <v>16505.927404419945</v>
      </c>
      <c r="AC53" s="408"/>
      <c r="AD53" s="304">
        <v>16880.088680722001</v>
      </c>
      <c r="AE53" s="414"/>
      <c r="AF53" s="303">
        <v>17699.890771499824</v>
      </c>
      <c r="AG53" s="408"/>
      <c r="AH53" s="304">
        <v>17294.504061906577</v>
      </c>
      <c r="AI53" s="416"/>
      <c r="AJ53" s="305">
        <v>17517.381111590483</v>
      </c>
      <c r="AK53" s="408"/>
      <c r="AL53" s="304">
        <v>18200.572501566214</v>
      </c>
      <c r="AM53" s="414"/>
      <c r="AN53" s="303">
        <v>18774.259151364877</v>
      </c>
      <c r="AO53" s="408"/>
      <c r="AP53" s="304">
        <v>19111.366055207211</v>
      </c>
      <c r="AQ53" s="414"/>
      <c r="AR53" s="303">
        <v>19702.776929394437</v>
      </c>
      <c r="AS53" s="408"/>
      <c r="AT53" s="304">
        <v>18955.094721857833</v>
      </c>
      <c r="AU53" s="407"/>
      <c r="AV53" s="303">
        <v>18736.977610667374</v>
      </c>
      <c r="AW53" s="408"/>
      <c r="AX53" s="304">
        <v>19625.943895503136</v>
      </c>
      <c r="AY53" s="407"/>
      <c r="AZ53" s="303">
        <v>19799.462601560634</v>
      </c>
      <c r="BA53" s="408"/>
      <c r="BB53" s="304">
        <v>19537.545172627295</v>
      </c>
      <c r="BC53" s="407"/>
      <c r="BD53" s="303">
        <v>19345.503521292969</v>
      </c>
      <c r="BE53" s="408"/>
      <c r="BF53" s="304">
        <v>19617.093423549515</v>
      </c>
      <c r="BG53" s="407"/>
      <c r="BH53" s="303">
        <v>19974.773894663114</v>
      </c>
      <c r="BI53" s="408"/>
      <c r="BJ53" s="304">
        <v>19895.124416620256</v>
      </c>
      <c r="BK53" s="407"/>
      <c r="BL53" s="303">
        <v>20044.423164603904</v>
      </c>
      <c r="BM53" s="408"/>
      <c r="BN53" s="304">
        <v>20570.374375464206</v>
      </c>
      <c r="BO53" s="407"/>
      <c r="BP53" s="303">
        <v>20448.153289552683</v>
      </c>
      <c r="BQ53" s="408"/>
      <c r="BR53" s="304">
        <v>21107.790617491162</v>
      </c>
      <c r="BS53" s="407"/>
      <c r="BT53" s="303">
        <v>21231.801573812525</v>
      </c>
      <c r="BU53" s="408"/>
      <c r="BV53" s="304">
        <v>21289.417752893976</v>
      </c>
      <c r="BW53" s="407"/>
      <c r="BX53" s="303">
        <v>21086.53879598662</v>
      </c>
      <c r="BY53" s="408"/>
      <c r="BZ53" s="304">
        <v>21311.084081106517</v>
      </c>
      <c r="CA53" s="407"/>
      <c r="CB53" s="303">
        <v>21211.041351371081</v>
      </c>
      <c r="CC53" s="408"/>
      <c r="CD53" s="304">
        <v>23561.583718335623</v>
      </c>
      <c r="CE53" s="407"/>
      <c r="CF53" s="303">
        <v>24491.74750196961</v>
      </c>
      <c r="CG53" s="408"/>
      <c r="CH53" s="304">
        <v>24704.103327531793</v>
      </c>
      <c r="CI53" s="407"/>
      <c r="CJ53" s="303">
        <v>24622.692552076194</v>
      </c>
      <c r="CK53" s="408"/>
      <c r="CL53" s="304">
        <v>25988.34619761441</v>
      </c>
      <c r="CM53" s="407"/>
      <c r="CN53" s="303">
        <v>25791.253906271875</v>
      </c>
      <c r="CO53" s="408"/>
      <c r="CP53" s="304">
        <v>26167.375038093072</v>
      </c>
      <c r="CQ53" s="407"/>
      <c r="CR53" s="303">
        <v>26980.304125644689</v>
      </c>
      <c r="CS53" s="408"/>
      <c r="CT53" s="304">
        <v>26095.57515476823</v>
      </c>
      <c r="CU53" s="407"/>
      <c r="CV53" s="303">
        <v>26654.32437844302</v>
      </c>
      <c r="CW53" s="408"/>
      <c r="CX53" s="304">
        <v>26891.885888005174</v>
      </c>
      <c r="CY53" s="407"/>
      <c r="CZ53" s="303">
        <v>26985.158776864824</v>
      </c>
      <c r="DA53" s="408"/>
      <c r="DB53" s="304">
        <v>27409.959271526848</v>
      </c>
    </row>
    <row r="54" spans="2:106" ht="14.25" customHeight="1" x14ac:dyDescent="0.25">
      <c r="B54" s="406" t="s">
        <v>643</v>
      </c>
      <c r="C54" s="393"/>
      <c r="D54" s="393"/>
      <c r="E54" s="406"/>
      <c r="F54" s="406"/>
      <c r="G54" s="414"/>
      <c r="H54" s="303">
        <v>15615.652838561389</v>
      </c>
      <c r="I54" s="408"/>
      <c r="J54" s="304">
        <v>15814.359973846011</v>
      </c>
      <c r="K54" s="414"/>
      <c r="L54" s="303">
        <v>16661.589714776597</v>
      </c>
      <c r="M54" s="408"/>
      <c r="N54" s="304">
        <v>16858.948530514521</v>
      </c>
      <c r="O54" s="414"/>
      <c r="P54" s="303">
        <v>16242.61496302731</v>
      </c>
      <c r="Q54" s="408"/>
      <c r="R54" s="304">
        <v>15774.361875242306</v>
      </c>
      <c r="S54" s="414"/>
      <c r="T54" s="303">
        <v>15732.479939442364</v>
      </c>
      <c r="U54" s="408"/>
      <c r="V54" s="304">
        <v>15953.855134525706</v>
      </c>
      <c r="W54" s="414"/>
      <c r="X54" s="303">
        <v>15977.204249450437</v>
      </c>
      <c r="Y54" s="408"/>
      <c r="Z54" s="304">
        <v>16146.528963303579</v>
      </c>
      <c r="AA54" s="414"/>
      <c r="AB54" s="303">
        <v>16505.927404419945</v>
      </c>
      <c r="AC54" s="408"/>
      <c r="AD54" s="304">
        <v>16880.088680722001</v>
      </c>
      <c r="AE54" s="414"/>
      <c r="AF54" s="303">
        <v>17699.890771499824</v>
      </c>
      <c r="AG54" s="408"/>
      <c r="AH54" s="304">
        <v>17294.504061906577</v>
      </c>
      <c r="AI54" s="416"/>
      <c r="AJ54" s="305">
        <v>17517.381111590483</v>
      </c>
      <c r="AK54" s="408"/>
      <c r="AL54" s="304">
        <v>18200.572501566214</v>
      </c>
      <c r="AM54" s="414"/>
      <c r="AN54" s="303">
        <v>18774.259151364877</v>
      </c>
      <c r="AO54" s="408"/>
      <c r="AP54" s="304">
        <v>19111.366055207211</v>
      </c>
      <c r="AQ54" s="414"/>
      <c r="AR54" s="303">
        <v>19702.776929394437</v>
      </c>
      <c r="AS54" s="408"/>
      <c r="AT54" s="304">
        <v>18955.094721857833</v>
      </c>
      <c r="AU54" s="407"/>
      <c r="AV54" s="303">
        <v>18736.977610667374</v>
      </c>
      <c r="AW54" s="408"/>
      <c r="AX54" s="304">
        <v>19625.943895503136</v>
      </c>
      <c r="AY54" s="407"/>
      <c r="AZ54" s="303">
        <v>19799.462601560634</v>
      </c>
      <c r="BA54" s="408"/>
      <c r="BB54" s="304">
        <v>19537.545172627295</v>
      </c>
      <c r="BC54" s="407"/>
      <c r="BD54" s="303">
        <v>19345.503521292969</v>
      </c>
      <c r="BE54" s="408"/>
      <c r="BF54" s="304">
        <v>19617.093423549515</v>
      </c>
      <c r="BG54" s="407"/>
      <c r="BH54" s="303">
        <v>19974.773894663114</v>
      </c>
      <c r="BI54" s="408"/>
      <c r="BJ54" s="304">
        <v>19895.124416620256</v>
      </c>
      <c r="BK54" s="407"/>
      <c r="BL54" s="303">
        <v>20044.423164603904</v>
      </c>
      <c r="BM54" s="408"/>
      <c r="BN54" s="304">
        <v>20570.374375464206</v>
      </c>
      <c r="BO54" s="407"/>
      <c r="BP54" s="303">
        <v>20448.153289552683</v>
      </c>
      <c r="BQ54" s="408"/>
      <c r="BR54" s="304">
        <v>21107.790617491162</v>
      </c>
      <c r="BS54" s="407"/>
      <c r="BT54" s="303">
        <v>21231.801573812525</v>
      </c>
      <c r="BU54" s="408"/>
      <c r="BV54" s="304">
        <v>21289.417752893976</v>
      </c>
      <c r="BW54" s="407"/>
      <c r="BX54" s="303">
        <v>21086.53879598662</v>
      </c>
      <c r="BY54" s="408"/>
      <c r="BZ54" s="304">
        <v>21311.084081106517</v>
      </c>
      <c r="CA54" s="407"/>
      <c r="CB54" s="303">
        <v>21211.041351371081</v>
      </c>
      <c r="CC54" s="408"/>
      <c r="CD54" s="304">
        <v>23561.583718335623</v>
      </c>
      <c r="CE54" s="407"/>
      <c r="CF54" s="303">
        <v>24491.74750196961</v>
      </c>
      <c r="CG54" s="408"/>
      <c r="CH54" s="304">
        <v>24704.103327531793</v>
      </c>
      <c r="CI54" s="407"/>
      <c r="CJ54" s="303">
        <v>24622.692552076194</v>
      </c>
      <c r="CK54" s="408"/>
      <c r="CL54" s="304">
        <v>25988.34619761441</v>
      </c>
      <c r="CM54" s="407"/>
      <c r="CN54" s="303">
        <v>25791.253906271875</v>
      </c>
      <c r="CO54" s="408"/>
      <c r="CP54" s="304">
        <v>26167.375038093072</v>
      </c>
      <c r="CQ54" s="407"/>
      <c r="CR54" s="303">
        <v>26980.304125644689</v>
      </c>
      <c r="CS54" s="408"/>
      <c r="CT54" s="304">
        <v>26095.57515476823</v>
      </c>
      <c r="CU54" s="407"/>
      <c r="CV54" s="303">
        <v>26654.32437844302</v>
      </c>
      <c r="CW54" s="408"/>
      <c r="CX54" s="304">
        <v>26891.885888005174</v>
      </c>
      <c r="CY54" s="407"/>
      <c r="CZ54" s="303">
        <v>26985.158776864824</v>
      </c>
      <c r="DA54" s="408"/>
      <c r="DB54" s="304">
        <v>27409.959271526848</v>
      </c>
    </row>
    <row r="55" spans="2:106" ht="14.25" customHeight="1" x14ac:dyDescent="0.25">
      <c r="B55" s="406"/>
      <c r="C55" s="272" t="s">
        <v>734</v>
      </c>
      <c r="D55" s="393"/>
      <c r="E55" s="406"/>
      <c r="F55" s="406"/>
      <c r="G55" s="414"/>
      <c r="H55" s="303"/>
      <c r="I55" s="408"/>
      <c r="J55" s="304"/>
      <c r="K55" s="414"/>
      <c r="L55" s="303"/>
      <c r="M55" s="408"/>
      <c r="N55" s="304"/>
      <c r="O55" s="414"/>
      <c r="P55" s="303"/>
      <c r="Q55" s="408"/>
      <c r="R55" s="304"/>
      <c r="S55" s="414"/>
      <c r="T55" s="303"/>
      <c r="U55" s="408"/>
      <c r="V55" s="304"/>
      <c r="W55" s="414"/>
      <c r="X55" s="303"/>
      <c r="Y55" s="408"/>
      <c r="Z55" s="304"/>
      <c r="AA55" s="414"/>
      <c r="AB55" s="303"/>
      <c r="AC55" s="408"/>
      <c r="AD55" s="304"/>
      <c r="AE55" s="414"/>
      <c r="AF55" s="303"/>
      <c r="AG55" s="408"/>
      <c r="AH55" s="304"/>
      <c r="AI55" s="416"/>
      <c r="AJ55" s="305"/>
      <c r="AK55" s="408"/>
      <c r="AL55" s="304"/>
      <c r="AM55" s="414"/>
      <c r="AN55" s="303"/>
      <c r="AO55" s="408"/>
      <c r="AP55" s="304"/>
      <c r="AQ55" s="414"/>
      <c r="AR55" s="303"/>
      <c r="AS55" s="408"/>
      <c r="AT55" s="304"/>
      <c r="AU55" s="407"/>
      <c r="AV55" s="303"/>
      <c r="AW55" s="408"/>
      <c r="AX55" s="304"/>
      <c r="AY55" s="407"/>
      <c r="AZ55" s="303"/>
      <c r="BA55" s="408"/>
      <c r="BB55" s="304"/>
      <c r="BC55" s="407"/>
      <c r="BD55" s="303"/>
      <c r="BE55" s="408"/>
      <c r="BF55" s="304"/>
      <c r="BG55" s="407"/>
      <c r="BH55" s="303"/>
      <c r="BI55" s="408"/>
      <c r="BJ55" s="304"/>
      <c r="BK55" s="407"/>
      <c r="BL55" s="303"/>
      <c r="BM55" s="408"/>
      <c r="BN55" s="304"/>
      <c r="BO55" s="407"/>
      <c r="BP55" s="303"/>
      <c r="BQ55" s="408"/>
      <c r="BR55" s="304"/>
      <c r="BS55" s="407"/>
      <c r="BT55" s="303"/>
      <c r="BU55" s="408"/>
      <c r="BV55" s="304"/>
      <c r="BW55" s="407"/>
      <c r="BX55" s="303">
        <v>0</v>
      </c>
      <c r="BY55" s="408"/>
      <c r="BZ55" s="304">
        <v>0</v>
      </c>
      <c r="CA55" s="407"/>
      <c r="CB55" s="303">
        <v>0</v>
      </c>
      <c r="CC55" s="408"/>
      <c r="CD55" s="304">
        <v>0</v>
      </c>
      <c r="CE55" s="407"/>
      <c r="CF55" s="303">
        <v>340.83244000000002</v>
      </c>
      <c r="CG55" s="408"/>
      <c r="CH55" s="304">
        <v>337.83778000000001</v>
      </c>
      <c r="CI55" s="407"/>
      <c r="CJ55" s="303">
        <v>333.05621449225794</v>
      </c>
      <c r="CK55" s="408"/>
      <c r="CL55" s="304">
        <v>686.88681003402769</v>
      </c>
      <c r="CM55" s="407"/>
      <c r="CN55" s="303">
        <v>672.30211260840201</v>
      </c>
      <c r="CO55" s="408"/>
      <c r="CP55" s="304">
        <v>1002.28908</v>
      </c>
      <c r="CQ55" s="407"/>
      <c r="CR55" s="303">
        <v>1033.55394</v>
      </c>
      <c r="CS55" s="408"/>
      <c r="CT55" s="304">
        <v>993.74706000000003</v>
      </c>
      <c r="CU55" s="407"/>
      <c r="CV55" s="303">
        <v>1346.85024</v>
      </c>
      <c r="CW55" s="408"/>
      <c r="CX55" s="304">
        <v>1395.9840000000002</v>
      </c>
      <c r="CY55" s="407"/>
      <c r="CZ55" s="303">
        <v>1741.1319000000001</v>
      </c>
      <c r="DA55" s="408"/>
      <c r="DB55" s="304">
        <v>1945.3747499999999</v>
      </c>
    </row>
    <row r="56" spans="2:106" ht="14.25" customHeight="1" x14ac:dyDescent="0.25">
      <c r="B56" s="406"/>
      <c r="C56" s="393" t="s">
        <v>735</v>
      </c>
      <c r="D56" s="393"/>
      <c r="E56" s="406"/>
      <c r="F56" s="406"/>
      <c r="G56" s="414"/>
      <c r="H56" s="303"/>
      <c r="I56" s="408"/>
      <c r="J56" s="304"/>
      <c r="K56" s="414"/>
      <c r="L56" s="303"/>
      <c r="M56" s="408"/>
      <c r="N56" s="304"/>
      <c r="O56" s="414"/>
      <c r="P56" s="303"/>
      <c r="Q56" s="408"/>
      <c r="R56" s="304"/>
      <c r="S56" s="414"/>
      <c r="T56" s="303"/>
      <c r="U56" s="408"/>
      <c r="V56" s="304"/>
      <c r="W56" s="414"/>
      <c r="X56" s="303"/>
      <c r="Y56" s="408"/>
      <c r="Z56" s="304"/>
      <c r="AA56" s="414"/>
      <c r="AB56" s="303"/>
      <c r="AC56" s="408"/>
      <c r="AD56" s="304"/>
      <c r="AE56" s="414"/>
      <c r="AF56" s="303"/>
      <c r="AG56" s="408"/>
      <c r="AH56" s="304"/>
      <c r="AI56" s="416"/>
      <c r="AJ56" s="305"/>
      <c r="AK56" s="408"/>
      <c r="AL56" s="304"/>
      <c r="AM56" s="414"/>
      <c r="AN56" s="303"/>
      <c r="AO56" s="408"/>
      <c r="AP56" s="304"/>
      <c r="AQ56" s="414"/>
      <c r="AR56" s="303"/>
      <c r="AS56" s="408"/>
      <c r="AT56" s="304"/>
      <c r="AU56" s="407"/>
      <c r="AV56" s="303"/>
      <c r="AW56" s="408"/>
      <c r="AX56" s="304"/>
      <c r="AY56" s="407"/>
      <c r="AZ56" s="303"/>
      <c r="BA56" s="408"/>
      <c r="BB56" s="304"/>
      <c r="BC56" s="407"/>
      <c r="BD56" s="303"/>
      <c r="BE56" s="408"/>
      <c r="BF56" s="304"/>
      <c r="BG56" s="407"/>
      <c r="BH56" s="303"/>
      <c r="BI56" s="408"/>
      <c r="BJ56" s="304"/>
      <c r="BK56" s="407"/>
      <c r="BL56" s="303"/>
      <c r="BM56" s="408"/>
      <c r="BN56" s="304"/>
      <c r="BO56" s="407"/>
      <c r="BP56" s="303"/>
      <c r="BQ56" s="408"/>
      <c r="BR56" s="304"/>
      <c r="BS56" s="407"/>
      <c r="BT56" s="303"/>
      <c r="BU56" s="408"/>
      <c r="BV56" s="304"/>
      <c r="BW56" s="407"/>
      <c r="BX56" s="303">
        <v>21086.53879598662</v>
      </c>
      <c r="BY56" s="408"/>
      <c r="BZ56" s="304">
        <v>21299.840334868852</v>
      </c>
      <c r="CA56" s="407"/>
      <c r="CB56" s="303">
        <v>21114.712116285482</v>
      </c>
      <c r="CC56" s="408"/>
      <c r="CD56" s="304">
        <v>23412.652364297319</v>
      </c>
      <c r="CE56" s="407"/>
      <c r="CF56" s="303">
        <v>23888.57517404094</v>
      </c>
      <c r="CG56" s="408"/>
      <c r="CH56" s="304">
        <v>24047.342196955655</v>
      </c>
      <c r="CI56" s="407"/>
      <c r="CJ56" s="303">
        <v>23836.754677552213</v>
      </c>
      <c r="CK56" s="408"/>
      <c r="CL56" s="304">
        <v>24784.471136370223</v>
      </c>
      <c r="CM56" s="407"/>
      <c r="CN56" s="303">
        <v>24385.322650414102</v>
      </c>
      <c r="CO56" s="408"/>
      <c r="CP56" s="304">
        <v>24355.798353363389</v>
      </c>
      <c r="CQ56" s="407"/>
      <c r="CR56" s="303">
        <v>25046.110074667078</v>
      </c>
      <c r="CS56" s="408"/>
      <c r="CT56" s="304">
        <v>25101.828094768229</v>
      </c>
      <c r="CU56" s="407"/>
      <c r="CV56" s="303">
        <v>25307.47413844302</v>
      </c>
      <c r="CW56" s="408"/>
      <c r="CX56" s="304">
        <v>25495.901888005174</v>
      </c>
      <c r="CY56" s="407"/>
      <c r="CZ56" s="303">
        <v>25244.026876864824</v>
      </c>
      <c r="DA56" s="408"/>
      <c r="DB56" s="304">
        <v>25464.584521526849</v>
      </c>
    </row>
    <row r="57" spans="2:106" ht="14.25" customHeight="1" x14ac:dyDescent="0.25">
      <c r="B57" s="406"/>
      <c r="C57" s="412" t="s">
        <v>736</v>
      </c>
      <c r="D57" s="393"/>
      <c r="E57" s="406"/>
      <c r="F57" s="406"/>
      <c r="G57" s="414"/>
      <c r="H57" s="303"/>
      <c r="I57" s="408"/>
      <c r="J57" s="304"/>
      <c r="K57" s="414"/>
      <c r="L57" s="303"/>
      <c r="M57" s="408"/>
      <c r="N57" s="304"/>
      <c r="O57" s="414"/>
      <c r="P57" s="303"/>
      <c r="Q57" s="408"/>
      <c r="R57" s="304"/>
      <c r="S57" s="414"/>
      <c r="T57" s="303"/>
      <c r="U57" s="408"/>
      <c r="V57" s="304"/>
      <c r="W57" s="414"/>
      <c r="X57" s="303"/>
      <c r="Y57" s="408"/>
      <c r="Z57" s="304"/>
      <c r="AA57" s="414"/>
      <c r="AB57" s="303"/>
      <c r="AC57" s="408"/>
      <c r="AD57" s="304"/>
      <c r="AE57" s="414"/>
      <c r="AF57" s="303"/>
      <c r="AG57" s="408"/>
      <c r="AH57" s="304"/>
      <c r="AI57" s="416"/>
      <c r="AJ57" s="305"/>
      <c r="AK57" s="408"/>
      <c r="AL57" s="304"/>
      <c r="AM57" s="414"/>
      <c r="AN57" s="303"/>
      <c r="AO57" s="408"/>
      <c r="AP57" s="304"/>
      <c r="AQ57" s="414"/>
      <c r="AR57" s="303"/>
      <c r="AS57" s="408"/>
      <c r="AT57" s="304"/>
      <c r="AU57" s="407"/>
      <c r="AV57" s="303"/>
      <c r="AW57" s="408"/>
      <c r="AX57" s="304"/>
      <c r="AY57" s="407"/>
      <c r="AZ57" s="303"/>
      <c r="BA57" s="408"/>
      <c r="BB57" s="304"/>
      <c r="BC57" s="407"/>
      <c r="BD57" s="303"/>
      <c r="BE57" s="408"/>
      <c r="BF57" s="304"/>
      <c r="BG57" s="407"/>
      <c r="BH57" s="303"/>
      <c r="BI57" s="408"/>
      <c r="BJ57" s="304"/>
      <c r="BK57" s="407"/>
      <c r="BL57" s="303"/>
      <c r="BM57" s="408"/>
      <c r="BN57" s="304"/>
      <c r="BO57" s="407"/>
      <c r="BP57" s="303"/>
      <c r="BQ57" s="408"/>
      <c r="BR57" s="304"/>
      <c r="BS57" s="407"/>
      <c r="BT57" s="303"/>
      <c r="BU57" s="408"/>
      <c r="BV57" s="304"/>
      <c r="BW57" s="407"/>
      <c r="BX57" s="303">
        <v>0</v>
      </c>
      <c r="BY57" s="408"/>
      <c r="BZ57" s="304">
        <v>11.243746237665365</v>
      </c>
      <c r="CA57" s="407"/>
      <c r="CB57" s="303">
        <v>96.329235085600516</v>
      </c>
      <c r="CC57" s="408"/>
      <c r="CD57" s="304">
        <v>148.93135403830345</v>
      </c>
      <c r="CE57" s="407"/>
      <c r="CF57" s="303">
        <v>262.33988792867154</v>
      </c>
      <c r="CG57" s="408"/>
      <c r="CH57" s="304">
        <v>318.92335057613656</v>
      </c>
      <c r="CI57" s="407"/>
      <c r="CJ57" s="303">
        <v>452.88166003172358</v>
      </c>
      <c r="CK57" s="408"/>
      <c r="CL57" s="304">
        <v>516.98825121015943</v>
      </c>
      <c r="CM57" s="407"/>
      <c r="CN57" s="303">
        <v>733.62914324937049</v>
      </c>
      <c r="CO57" s="408"/>
      <c r="CP57" s="304">
        <v>809.28760472968509</v>
      </c>
      <c r="CQ57" s="407"/>
      <c r="CR57" s="303">
        <v>900.6401109776084</v>
      </c>
      <c r="CS57" s="408"/>
      <c r="CT57" s="304">
        <v>0</v>
      </c>
      <c r="CU57" s="407"/>
      <c r="CV57" s="303">
        <v>0</v>
      </c>
      <c r="CW57" s="408"/>
      <c r="CX57" s="304">
        <v>0</v>
      </c>
      <c r="CY57" s="407"/>
      <c r="CZ57" s="303">
        <v>0</v>
      </c>
      <c r="DA57" s="408"/>
      <c r="DB57" s="304">
        <v>0</v>
      </c>
    </row>
    <row r="58" spans="2:106" ht="14.25" customHeight="1" x14ac:dyDescent="0.25">
      <c r="B58" s="406" t="s">
        <v>737</v>
      </c>
      <c r="C58" s="393"/>
      <c r="D58" s="393"/>
      <c r="E58" s="406"/>
      <c r="F58" s="406"/>
      <c r="G58" s="414"/>
      <c r="H58" s="303">
        <v>2823.2519404117088</v>
      </c>
      <c r="I58" s="408"/>
      <c r="J58" s="304">
        <v>3712.5682389380254</v>
      </c>
      <c r="K58" s="414"/>
      <c r="L58" s="303">
        <v>3821.7921287416502</v>
      </c>
      <c r="M58" s="408"/>
      <c r="N58" s="304">
        <v>3934.6071608731022</v>
      </c>
      <c r="O58" s="414"/>
      <c r="P58" s="303">
        <v>3963.2100810674219</v>
      </c>
      <c r="Q58" s="408"/>
      <c r="R58" s="304">
        <v>3993.052854708862</v>
      </c>
      <c r="S58" s="414"/>
      <c r="T58" s="303">
        <v>4086.1680099821315</v>
      </c>
      <c r="U58" s="408"/>
      <c r="V58" s="304">
        <v>4068.7903935238205</v>
      </c>
      <c r="W58" s="414"/>
      <c r="X58" s="303">
        <v>4051.1644196809107</v>
      </c>
      <c r="Y58" s="408"/>
      <c r="Z58" s="304">
        <v>4027.6506469501314</v>
      </c>
      <c r="AA58" s="414"/>
      <c r="AB58" s="303">
        <v>4140.4282147824042</v>
      </c>
      <c r="AC58" s="408"/>
      <c r="AD58" s="304">
        <v>4167.9341732984012</v>
      </c>
      <c r="AE58" s="414"/>
      <c r="AF58" s="303">
        <v>4100.5895086698147</v>
      </c>
      <c r="AG58" s="408"/>
      <c r="AH58" s="304">
        <v>3931.4943677011111</v>
      </c>
      <c r="AI58" s="416"/>
      <c r="AJ58" s="305">
        <v>3885.9031850616911</v>
      </c>
      <c r="AK58" s="408"/>
      <c r="AL58" s="304">
        <v>4153.8083186833783</v>
      </c>
      <c r="AM58" s="414"/>
      <c r="AN58" s="303">
        <v>4191.3262226097877</v>
      </c>
      <c r="AO58" s="408"/>
      <c r="AP58" s="304">
        <v>4174.7820567550771</v>
      </c>
      <c r="AQ58" s="414"/>
      <c r="AR58" s="303">
        <v>4146.7132199916541</v>
      </c>
      <c r="AS58" s="408"/>
      <c r="AT58" s="304">
        <v>4162.8931863812013</v>
      </c>
      <c r="AU58" s="407"/>
      <c r="AV58" s="303">
        <v>4176.9958355378812</v>
      </c>
      <c r="AW58" s="408"/>
      <c r="AX58" s="304">
        <v>4301.982902813359</v>
      </c>
      <c r="AY58" s="407"/>
      <c r="AZ58" s="303">
        <v>4274.6545985282664</v>
      </c>
      <c r="BA58" s="408"/>
      <c r="BB58" s="304">
        <v>4254.1913489301569</v>
      </c>
      <c r="BC58" s="407"/>
      <c r="BD58" s="303">
        <v>4288.1789653634123</v>
      </c>
      <c r="BE58" s="408"/>
      <c r="BF58" s="304">
        <v>4139.274426409821</v>
      </c>
      <c r="BG58" s="407"/>
      <c r="BH58" s="303">
        <v>3996.6902131824609</v>
      </c>
      <c r="BI58" s="408"/>
      <c r="BJ58" s="304">
        <v>3971.4339653592097</v>
      </c>
      <c r="BK58" s="407"/>
      <c r="BL58" s="303">
        <v>3987.928817061249</v>
      </c>
      <c r="BM58" s="408"/>
      <c r="BN58" s="304">
        <v>4080.7366337397848</v>
      </c>
      <c r="BO58" s="407"/>
      <c r="BP58" s="303">
        <v>4953.5701572863654</v>
      </c>
      <c r="BQ58" s="408"/>
      <c r="BR58" s="304">
        <v>4915.8768348538479</v>
      </c>
      <c r="BS58" s="407"/>
      <c r="BT58" s="303">
        <v>4844.9027849378072</v>
      </c>
      <c r="BU58" s="408"/>
      <c r="BV58" s="304">
        <v>4838.3151528812405</v>
      </c>
      <c r="BW58" s="407"/>
      <c r="BX58" s="303">
        <v>4777.3228134629562</v>
      </c>
      <c r="BY58" s="408"/>
      <c r="BZ58" s="304">
        <v>4727.074421297536</v>
      </c>
      <c r="CA58" s="407"/>
      <c r="CB58" s="303">
        <v>4753.3288455666298</v>
      </c>
      <c r="CC58" s="408"/>
      <c r="CD58" s="304">
        <v>3345.648843087783</v>
      </c>
      <c r="CE58" s="407"/>
      <c r="CF58" s="303">
        <v>3356.4229501913305</v>
      </c>
      <c r="CG58" s="408"/>
      <c r="CH58" s="304">
        <v>3254.4452715448797</v>
      </c>
      <c r="CI58" s="407"/>
      <c r="CJ58" s="303">
        <v>3172.9907290984293</v>
      </c>
      <c r="CK58" s="408"/>
      <c r="CL58" s="304">
        <v>3071.0545274419783</v>
      </c>
      <c r="CM58" s="407"/>
      <c r="CN58" s="303">
        <v>2812.2123606157143</v>
      </c>
      <c r="CO58" s="408"/>
      <c r="CP58" s="304">
        <v>2727.0541850050813</v>
      </c>
      <c r="CQ58" s="407"/>
      <c r="CR58" s="303">
        <v>2729.2087151641681</v>
      </c>
      <c r="CS58" s="408"/>
      <c r="CT58" s="304">
        <v>2510.4661741120576</v>
      </c>
      <c r="CU58" s="407"/>
      <c r="CV58" s="303">
        <v>2582.5763096760952</v>
      </c>
      <c r="CW58" s="408"/>
      <c r="CX58" s="304">
        <v>2408.1445027005211</v>
      </c>
      <c r="CY58" s="407"/>
      <c r="CZ58" s="303">
        <v>2247.3337692058326</v>
      </c>
      <c r="DA58" s="408"/>
      <c r="DB58" s="304">
        <v>2289.0183522465591</v>
      </c>
    </row>
    <row r="59" spans="2:106" ht="14.25" customHeight="1" x14ac:dyDescent="0.25">
      <c r="B59" s="406" t="s">
        <v>643</v>
      </c>
      <c r="C59" s="393"/>
      <c r="D59" s="393"/>
      <c r="E59" s="406"/>
      <c r="F59" s="406"/>
      <c r="G59" s="414"/>
      <c r="H59" s="303">
        <v>2823.2519404117088</v>
      </c>
      <c r="I59" s="408"/>
      <c r="J59" s="304">
        <v>3712.5682389380254</v>
      </c>
      <c r="K59" s="414"/>
      <c r="L59" s="303">
        <v>3821.7921287416502</v>
      </c>
      <c r="M59" s="408"/>
      <c r="N59" s="304">
        <v>3934.6071608731022</v>
      </c>
      <c r="O59" s="414"/>
      <c r="P59" s="303">
        <v>3963.2100810674219</v>
      </c>
      <c r="Q59" s="408"/>
      <c r="R59" s="304">
        <v>3993.052854708862</v>
      </c>
      <c r="S59" s="414"/>
      <c r="T59" s="303">
        <v>4086.1680099821315</v>
      </c>
      <c r="U59" s="408"/>
      <c r="V59" s="304">
        <v>4068.7903935238205</v>
      </c>
      <c r="W59" s="414"/>
      <c r="X59" s="303">
        <v>4051.1644196809107</v>
      </c>
      <c r="Y59" s="408"/>
      <c r="Z59" s="304">
        <v>4027.6506469501314</v>
      </c>
      <c r="AA59" s="414"/>
      <c r="AB59" s="303">
        <v>4140.4282147824042</v>
      </c>
      <c r="AC59" s="408"/>
      <c r="AD59" s="304">
        <v>4167.9341732984012</v>
      </c>
      <c r="AE59" s="414"/>
      <c r="AF59" s="303">
        <v>4100.5895086698147</v>
      </c>
      <c r="AG59" s="408"/>
      <c r="AH59" s="304">
        <v>3931.4943677011111</v>
      </c>
      <c r="AI59" s="416"/>
      <c r="AJ59" s="305">
        <v>3885.9031850616911</v>
      </c>
      <c r="AK59" s="408"/>
      <c r="AL59" s="304">
        <v>4153.8083186833783</v>
      </c>
      <c r="AM59" s="414"/>
      <c r="AN59" s="303">
        <v>4191.3262226097877</v>
      </c>
      <c r="AO59" s="408"/>
      <c r="AP59" s="304">
        <v>4174.7820567550771</v>
      </c>
      <c r="AQ59" s="414"/>
      <c r="AR59" s="303">
        <v>4146.7132199916541</v>
      </c>
      <c r="AS59" s="408"/>
      <c r="AT59" s="304">
        <v>4162.8931863812013</v>
      </c>
      <c r="AU59" s="407"/>
      <c r="AV59" s="303">
        <v>4176.9958355378812</v>
      </c>
      <c r="AW59" s="408"/>
      <c r="AX59" s="304">
        <v>4301.982902813359</v>
      </c>
      <c r="AY59" s="407"/>
      <c r="AZ59" s="303">
        <v>4274.6545985282664</v>
      </c>
      <c r="BA59" s="408"/>
      <c r="BB59" s="304">
        <v>4254.1913489301569</v>
      </c>
      <c r="BC59" s="407"/>
      <c r="BD59" s="303">
        <v>4288.1789653634123</v>
      </c>
      <c r="BE59" s="408"/>
      <c r="BF59" s="304">
        <v>4139.274426409821</v>
      </c>
      <c r="BG59" s="407"/>
      <c r="BH59" s="303">
        <v>3996.6902131824609</v>
      </c>
      <c r="BI59" s="408"/>
      <c r="BJ59" s="304">
        <v>3971.4339653592097</v>
      </c>
      <c r="BK59" s="407"/>
      <c r="BL59" s="303">
        <v>3987.928817061249</v>
      </c>
      <c r="BM59" s="408"/>
      <c r="BN59" s="304">
        <v>4080.7366337397848</v>
      </c>
      <c r="BO59" s="407"/>
      <c r="BP59" s="303">
        <v>4953.5701572863654</v>
      </c>
      <c r="BQ59" s="408"/>
      <c r="BR59" s="304">
        <v>4915.8768348538479</v>
      </c>
      <c r="BS59" s="407"/>
      <c r="BT59" s="303">
        <v>4844.9027849378072</v>
      </c>
      <c r="BU59" s="408"/>
      <c r="BV59" s="304">
        <v>4838.3151528812405</v>
      </c>
      <c r="BW59" s="407"/>
      <c r="BX59" s="303">
        <v>4777.3228134629562</v>
      </c>
      <c r="BY59" s="408"/>
      <c r="BZ59" s="304">
        <v>4727.074421297536</v>
      </c>
      <c r="CA59" s="407"/>
      <c r="CB59" s="303">
        <v>4753.3288455666298</v>
      </c>
      <c r="CC59" s="408"/>
      <c r="CD59" s="304">
        <v>3345.648843087783</v>
      </c>
      <c r="CE59" s="407"/>
      <c r="CF59" s="303">
        <v>3356.4229501913305</v>
      </c>
      <c r="CG59" s="408"/>
      <c r="CH59" s="304">
        <v>3254.4452715448797</v>
      </c>
      <c r="CI59" s="407"/>
      <c r="CJ59" s="303">
        <v>3172.9907290984293</v>
      </c>
      <c r="CK59" s="408"/>
      <c r="CL59" s="304">
        <v>3071.0545274419783</v>
      </c>
      <c r="CM59" s="407"/>
      <c r="CN59" s="303">
        <v>2812.2123606157143</v>
      </c>
      <c r="CO59" s="408"/>
      <c r="CP59" s="304">
        <v>2727.0541850050813</v>
      </c>
      <c r="CQ59" s="407"/>
      <c r="CR59" s="303">
        <v>2729.2087151641681</v>
      </c>
      <c r="CS59" s="408"/>
      <c r="CT59" s="304">
        <v>2510.4661741120576</v>
      </c>
      <c r="CU59" s="407"/>
      <c r="CV59" s="303">
        <v>2582.5763096760952</v>
      </c>
      <c r="CW59" s="408"/>
      <c r="CX59" s="304">
        <v>2408.1445027005211</v>
      </c>
      <c r="CY59" s="407"/>
      <c r="CZ59" s="303">
        <v>2247.3337692058326</v>
      </c>
      <c r="DA59" s="408"/>
      <c r="DB59" s="304">
        <v>2289.0183522465591</v>
      </c>
    </row>
    <row r="60" spans="2:106" ht="14.25" customHeight="1" x14ac:dyDescent="0.25">
      <c r="B60" s="393"/>
      <c r="C60" s="393"/>
      <c r="D60" s="393"/>
      <c r="E60" s="393"/>
      <c r="F60" s="393"/>
      <c r="G60" s="407"/>
      <c r="H60" s="407"/>
      <c r="I60" s="408"/>
      <c r="J60" s="408"/>
      <c r="K60" s="407"/>
      <c r="L60" s="407"/>
      <c r="M60" s="408"/>
      <c r="N60" s="408"/>
      <c r="O60" s="407"/>
      <c r="P60" s="407"/>
      <c r="Q60" s="408"/>
      <c r="R60" s="408"/>
      <c r="S60" s="407"/>
      <c r="T60" s="407"/>
      <c r="U60" s="408"/>
      <c r="V60" s="408"/>
      <c r="W60" s="407"/>
      <c r="X60" s="407"/>
      <c r="Y60" s="408"/>
      <c r="Z60" s="408"/>
      <c r="AA60" s="407"/>
      <c r="AB60" s="407"/>
      <c r="AC60" s="408"/>
      <c r="AD60" s="408"/>
      <c r="AE60" s="407"/>
      <c r="AF60" s="407"/>
      <c r="AG60" s="408"/>
      <c r="AH60" s="408"/>
      <c r="AI60" s="409"/>
      <c r="AJ60" s="409"/>
      <c r="AK60" s="408"/>
      <c r="AL60" s="408"/>
      <c r="AM60" s="407"/>
      <c r="AN60" s="407"/>
      <c r="AO60" s="408"/>
      <c r="AP60" s="408"/>
      <c r="AQ60" s="407"/>
      <c r="AR60" s="407"/>
      <c r="AS60" s="408"/>
      <c r="AT60" s="408"/>
      <c r="AU60" s="407"/>
      <c r="AV60" s="407"/>
      <c r="AW60" s="408"/>
      <c r="AX60" s="408"/>
      <c r="AY60" s="407"/>
      <c r="AZ60" s="407"/>
      <c r="BA60" s="408"/>
      <c r="BB60" s="408"/>
      <c r="BC60" s="407"/>
      <c r="BD60" s="407"/>
      <c r="BE60" s="408"/>
      <c r="BF60" s="408"/>
      <c r="BG60" s="407"/>
      <c r="BH60" s="407"/>
      <c r="BI60" s="408"/>
      <c r="BJ60" s="408"/>
      <c r="BK60" s="407"/>
      <c r="BL60" s="407"/>
      <c r="BM60" s="408"/>
      <c r="BN60" s="408"/>
      <c r="BO60" s="407"/>
      <c r="BP60" s="407"/>
      <c r="BQ60" s="408"/>
      <c r="BR60" s="408"/>
      <c r="BS60" s="407"/>
      <c r="BT60" s="407"/>
      <c r="BU60" s="408"/>
      <c r="BV60" s="408"/>
      <c r="BW60" s="407"/>
      <c r="BX60" s="407"/>
      <c r="BY60" s="408"/>
      <c r="BZ60" s="408"/>
      <c r="CA60" s="407"/>
      <c r="CB60" s="407"/>
      <c r="CC60" s="408"/>
      <c r="CD60" s="408"/>
      <c r="CE60" s="407"/>
      <c r="CF60" s="407"/>
      <c r="CG60" s="408"/>
      <c r="CH60" s="408"/>
      <c r="CI60" s="407"/>
      <c r="CJ60" s="407"/>
      <c r="CK60" s="408"/>
      <c r="CL60" s="408"/>
      <c r="CM60" s="407"/>
      <c r="CN60" s="407"/>
      <c r="CO60" s="408"/>
      <c r="CP60" s="408"/>
      <c r="CQ60" s="407"/>
      <c r="CR60" s="407"/>
      <c r="CS60" s="408"/>
      <c r="CT60" s="408"/>
      <c r="CU60" s="407"/>
      <c r="CV60" s="407"/>
      <c r="CW60" s="408"/>
      <c r="CX60" s="408"/>
      <c r="CY60" s="407"/>
      <c r="CZ60" s="407"/>
      <c r="DA60" s="408"/>
      <c r="DB60" s="408"/>
    </row>
    <row r="61" spans="2:106" s="422" customFormat="1" ht="14.25" customHeight="1" x14ac:dyDescent="0.25">
      <c r="B61" s="405" t="s">
        <v>738</v>
      </c>
      <c r="C61" s="406"/>
      <c r="D61" s="406"/>
      <c r="E61" s="405"/>
      <c r="F61" s="405"/>
      <c r="G61" s="414">
        <v>0</v>
      </c>
      <c r="H61" s="414">
        <v>0</v>
      </c>
      <c r="I61" s="415">
        <v>0</v>
      </c>
      <c r="J61" s="415">
        <v>0</v>
      </c>
      <c r="K61" s="414">
        <v>0</v>
      </c>
      <c r="L61" s="414">
        <v>0</v>
      </c>
      <c r="M61" s="415">
        <v>0</v>
      </c>
      <c r="N61" s="415">
        <v>0</v>
      </c>
      <c r="O61" s="414">
        <v>0</v>
      </c>
      <c r="P61" s="414">
        <v>0</v>
      </c>
      <c r="Q61" s="415">
        <v>0</v>
      </c>
      <c r="R61" s="415">
        <v>0</v>
      </c>
      <c r="S61" s="414">
        <v>0</v>
      </c>
      <c r="T61" s="414">
        <v>0</v>
      </c>
      <c r="U61" s="415">
        <v>0</v>
      </c>
      <c r="V61" s="415">
        <v>0</v>
      </c>
      <c r="W61" s="414">
        <v>0</v>
      </c>
      <c r="X61" s="414">
        <v>0</v>
      </c>
      <c r="Y61" s="415">
        <v>0</v>
      </c>
      <c r="Z61" s="415">
        <v>0</v>
      </c>
      <c r="AA61" s="414"/>
      <c r="AB61" s="414"/>
      <c r="AC61" s="415"/>
      <c r="AD61" s="415"/>
      <c r="AE61" s="414"/>
      <c r="AF61" s="414"/>
      <c r="AG61" s="415"/>
      <c r="AH61" s="415"/>
      <c r="AI61" s="416"/>
      <c r="AJ61" s="416"/>
      <c r="AK61" s="415"/>
      <c r="AL61" s="415"/>
      <c r="AM61" s="414"/>
      <c r="AN61" s="414"/>
      <c r="AO61" s="415"/>
      <c r="AP61" s="415"/>
      <c r="AQ61" s="414"/>
      <c r="AR61" s="414"/>
      <c r="AS61" s="415"/>
      <c r="AT61" s="415"/>
      <c r="AU61" s="414"/>
      <c r="AV61" s="414"/>
      <c r="AW61" s="415"/>
      <c r="AX61" s="415"/>
      <c r="AY61" s="414"/>
      <c r="AZ61" s="414"/>
      <c r="BA61" s="415"/>
      <c r="BB61" s="415"/>
      <c r="BC61" s="414"/>
      <c r="BD61" s="414"/>
      <c r="BE61" s="415"/>
      <c r="BF61" s="415"/>
      <c r="BG61" s="414"/>
      <c r="BH61" s="414"/>
      <c r="BI61" s="415"/>
      <c r="BJ61" s="415"/>
      <c r="BK61" s="414"/>
      <c r="BL61" s="414"/>
      <c r="BM61" s="415"/>
      <c r="BN61" s="415"/>
      <c r="BO61" s="414"/>
      <c r="BP61" s="414"/>
      <c r="BQ61" s="415"/>
      <c r="BR61" s="415"/>
      <c r="BS61" s="414"/>
      <c r="BT61" s="414"/>
      <c r="BU61" s="415"/>
      <c r="BV61" s="415"/>
      <c r="BW61" s="414"/>
      <c r="BX61" s="414"/>
      <c r="BY61" s="415"/>
      <c r="BZ61" s="415"/>
      <c r="CA61" s="414"/>
      <c r="CB61" s="414"/>
      <c r="CC61" s="415"/>
      <c r="CD61" s="415"/>
      <c r="CE61" s="414"/>
      <c r="CF61" s="414"/>
      <c r="CG61" s="415"/>
      <c r="CH61" s="415"/>
      <c r="CI61" s="414"/>
      <c r="CJ61" s="414"/>
      <c r="CK61" s="415"/>
      <c r="CL61" s="415"/>
      <c r="CM61" s="414"/>
      <c r="CN61" s="414"/>
      <c r="CO61" s="415"/>
      <c r="CP61" s="415"/>
      <c r="CQ61" s="414"/>
      <c r="CR61" s="414"/>
      <c r="CS61" s="415"/>
      <c r="CT61" s="415"/>
      <c r="CU61" s="414"/>
      <c r="CV61" s="414"/>
      <c r="CW61" s="415"/>
      <c r="CX61" s="415"/>
      <c r="CY61" s="414"/>
      <c r="CZ61" s="414"/>
      <c r="DA61" s="415"/>
      <c r="DB61" s="415"/>
    </row>
    <row r="62" spans="2:106" ht="14.25" customHeight="1" x14ac:dyDescent="0.25">
      <c r="B62" s="393"/>
      <c r="C62" s="393"/>
      <c r="D62" s="393"/>
      <c r="E62" s="393"/>
      <c r="F62" s="393"/>
      <c r="G62" s="407"/>
      <c r="H62" s="407"/>
      <c r="I62" s="408"/>
      <c r="J62" s="408"/>
      <c r="K62" s="407"/>
      <c r="L62" s="407"/>
      <c r="M62" s="408"/>
      <c r="N62" s="408"/>
      <c r="O62" s="407"/>
      <c r="P62" s="407"/>
      <c r="Q62" s="408"/>
      <c r="R62" s="408"/>
      <c r="S62" s="407"/>
      <c r="T62" s="407"/>
      <c r="U62" s="408"/>
      <c r="V62" s="408"/>
      <c r="W62" s="407"/>
      <c r="X62" s="407"/>
      <c r="Y62" s="408"/>
      <c r="Z62" s="408"/>
      <c r="AA62" s="407"/>
      <c r="AB62" s="407"/>
      <c r="AC62" s="408"/>
      <c r="AD62" s="408"/>
      <c r="AE62" s="407"/>
      <c r="AF62" s="407"/>
      <c r="AG62" s="408"/>
      <c r="AH62" s="408"/>
      <c r="AI62" s="409"/>
      <c r="AJ62" s="409"/>
      <c r="AK62" s="408"/>
      <c r="AL62" s="408"/>
      <c r="AM62" s="407"/>
      <c r="AN62" s="407"/>
      <c r="AO62" s="408"/>
      <c r="AP62" s="408"/>
      <c r="AQ62" s="407"/>
      <c r="AR62" s="407"/>
      <c r="AS62" s="408"/>
      <c r="AT62" s="408"/>
      <c r="AU62" s="407"/>
      <c r="AV62" s="407"/>
      <c r="AW62" s="408"/>
      <c r="AX62" s="408"/>
      <c r="AY62" s="407"/>
      <c r="AZ62" s="407"/>
      <c r="BA62" s="408"/>
      <c r="BB62" s="408"/>
      <c r="BC62" s="407"/>
      <c r="BD62" s="407"/>
      <c r="BE62" s="408"/>
      <c r="BF62" s="408"/>
      <c r="BG62" s="407"/>
      <c r="BH62" s="407"/>
      <c r="BI62" s="408"/>
      <c r="BJ62" s="408"/>
      <c r="BK62" s="407"/>
      <c r="BL62" s="407"/>
      <c r="BM62" s="408"/>
      <c r="BN62" s="408"/>
      <c r="BO62" s="407"/>
      <c r="BP62" s="407"/>
      <c r="BQ62" s="408"/>
      <c r="BR62" s="408"/>
      <c r="BS62" s="407"/>
      <c r="BT62" s="407"/>
      <c r="BU62" s="408"/>
      <c r="BV62" s="408"/>
      <c r="BW62" s="407"/>
      <c r="BX62" s="407"/>
      <c r="BY62" s="408"/>
      <c r="BZ62" s="408"/>
      <c r="CA62" s="407"/>
      <c r="CB62" s="407"/>
      <c r="CC62" s="408"/>
      <c r="CD62" s="408"/>
      <c r="CE62" s="407"/>
      <c r="CF62" s="407"/>
      <c r="CG62" s="408"/>
      <c r="CH62" s="408"/>
      <c r="CI62" s="407"/>
      <c r="CJ62" s="407"/>
      <c r="CK62" s="408"/>
      <c r="CL62" s="408"/>
      <c r="CM62" s="407"/>
      <c r="CN62" s="407"/>
      <c r="CO62" s="408"/>
      <c r="CP62" s="408"/>
      <c r="CQ62" s="407"/>
      <c r="CR62" s="407"/>
      <c r="CS62" s="408"/>
      <c r="CT62" s="408"/>
      <c r="CU62" s="407"/>
      <c r="CV62" s="407"/>
      <c r="CW62" s="408"/>
      <c r="CX62" s="408"/>
      <c r="CY62" s="407"/>
      <c r="CZ62" s="407"/>
      <c r="DA62" s="408"/>
      <c r="DB62" s="408"/>
    </row>
    <row r="63" spans="2:106" s="274" customFormat="1" ht="14.25" customHeight="1" x14ac:dyDescent="0.2">
      <c r="B63" s="405" t="s">
        <v>739</v>
      </c>
      <c r="C63" s="287"/>
      <c r="D63" s="287"/>
      <c r="E63" s="405"/>
      <c r="F63" s="405"/>
      <c r="G63" s="298">
        <v>234.46693263076344</v>
      </c>
      <c r="H63" s="298">
        <v>1909.7182467996774</v>
      </c>
      <c r="I63" s="299">
        <v>459.90592586885174</v>
      </c>
      <c r="J63" s="299">
        <v>2088.5196086664705</v>
      </c>
      <c r="K63" s="298">
        <v>539.62918515615388</v>
      </c>
      <c r="L63" s="298">
        <v>2200.6077084060162</v>
      </c>
      <c r="M63" s="299">
        <v>638.108715701655</v>
      </c>
      <c r="N63" s="299">
        <v>2131.2025561230625</v>
      </c>
      <c r="O63" s="298">
        <v>735.32548460205714</v>
      </c>
      <c r="P63" s="298">
        <v>2050.7974038401085</v>
      </c>
      <c r="Q63" s="299">
        <v>820.1461438301784</v>
      </c>
      <c r="R63" s="299">
        <v>1674.3922515571544</v>
      </c>
      <c r="S63" s="298">
        <v>594.52007725479132</v>
      </c>
      <c r="T63" s="298">
        <v>1534.0424863644598</v>
      </c>
      <c r="U63" s="299">
        <v>623.79059932770008</v>
      </c>
      <c r="V63" s="299">
        <v>1629.8814557099543</v>
      </c>
      <c r="W63" s="298">
        <v>642.90299603189987</v>
      </c>
      <c r="X63" s="298">
        <v>1480.7204250554482</v>
      </c>
      <c r="Y63" s="299">
        <v>676.54031892480339</v>
      </c>
      <c r="Z63" s="299">
        <v>1374.5593944009429</v>
      </c>
      <c r="AA63" s="298">
        <v>788.63971819224832</v>
      </c>
      <c r="AB63" s="298">
        <v>1251.9667170556374</v>
      </c>
      <c r="AC63" s="299">
        <v>742.48782282367995</v>
      </c>
      <c r="AD63" s="299">
        <v>1399.1083874303092</v>
      </c>
      <c r="AE63" s="298">
        <v>741.54064777603821</v>
      </c>
      <c r="AF63" s="298">
        <v>1411.2500578049812</v>
      </c>
      <c r="AG63" s="299">
        <v>706.60606839477623</v>
      </c>
      <c r="AH63" s="299">
        <v>1480.391728179653</v>
      </c>
      <c r="AI63" s="300">
        <v>971.58276336399661</v>
      </c>
      <c r="AJ63" s="300">
        <v>1941.89868665837</v>
      </c>
      <c r="AK63" s="299">
        <v>984.61394761031488</v>
      </c>
      <c r="AL63" s="299">
        <v>1885.4227645569863</v>
      </c>
      <c r="AM63" s="298">
        <v>1005.1994457671861</v>
      </c>
      <c r="AN63" s="298">
        <v>1581.6135091222686</v>
      </c>
      <c r="AO63" s="299">
        <v>1002.1044079182067</v>
      </c>
      <c r="AP63" s="299">
        <v>1930.1375870208844</v>
      </c>
      <c r="AQ63" s="298">
        <v>1036.8151452422221</v>
      </c>
      <c r="AR63" s="298">
        <v>2043.7727587906727</v>
      </c>
      <c r="AS63" s="299">
        <v>1097.6883928898328</v>
      </c>
      <c r="AT63" s="299">
        <v>2163.6477271122371</v>
      </c>
      <c r="AU63" s="298">
        <v>1146.967814852876</v>
      </c>
      <c r="AV63" s="298">
        <v>2347.5226954338018</v>
      </c>
      <c r="AW63" s="299">
        <v>1181.9795267028758</v>
      </c>
      <c r="AX63" s="299">
        <v>2184.3976637553665</v>
      </c>
      <c r="AY63" s="298">
        <v>1185.7734722522828</v>
      </c>
      <c r="AZ63" s="298">
        <v>2162.5457182326381</v>
      </c>
      <c r="BA63" s="299">
        <v>1178.2220239653705</v>
      </c>
      <c r="BB63" s="299">
        <v>2267.6937727099098</v>
      </c>
      <c r="BC63" s="298">
        <v>1181.9340125141143</v>
      </c>
      <c r="BD63" s="298">
        <v>2241.8418271871819</v>
      </c>
      <c r="BE63" s="299">
        <v>1178.1380957656115</v>
      </c>
      <c r="BF63" s="299">
        <v>2155.9898816644536</v>
      </c>
      <c r="BG63" s="298">
        <v>1115.1364786197316</v>
      </c>
      <c r="BH63" s="298">
        <v>2287.7075398044535</v>
      </c>
      <c r="BI63" s="299">
        <v>1040.7147710817585</v>
      </c>
      <c r="BJ63" s="299">
        <v>1908.4251979444534</v>
      </c>
      <c r="BK63" s="298">
        <v>1005.3709117383769</v>
      </c>
      <c r="BL63" s="298">
        <v>2040.1428560844536</v>
      </c>
      <c r="BM63" s="299">
        <v>954.11335086382689</v>
      </c>
      <c r="BN63" s="299">
        <v>2340.8605142244537</v>
      </c>
      <c r="BO63" s="298">
        <v>1004.1296348986954</v>
      </c>
      <c r="BP63" s="298">
        <v>2553.9999999999995</v>
      </c>
      <c r="BQ63" s="299">
        <v>1053.7782840310006</v>
      </c>
      <c r="BR63" s="299">
        <v>2473.9999999999991</v>
      </c>
      <c r="BS63" s="298">
        <v>1140.1950901775876</v>
      </c>
      <c r="BT63" s="298">
        <v>2660.9999999999991</v>
      </c>
      <c r="BU63" s="299">
        <v>1210.7605482535837</v>
      </c>
      <c r="BV63" s="299">
        <v>1914.7458824274856</v>
      </c>
      <c r="BW63" s="298">
        <v>1290.4046510403159</v>
      </c>
      <c r="BX63" s="298">
        <v>1618.1282644331689</v>
      </c>
      <c r="BY63" s="299">
        <v>1367.7134422703025</v>
      </c>
      <c r="BZ63" s="299">
        <v>1479.3950564331692</v>
      </c>
      <c r="CA63" s="298">
        <v>1434.3491747560226</v>
      </c>
      <c r="CB63" s="298">
        <v>1283.4762444331689</v>
      </c>
      <c r="CC63" s="299">
        <v>1492.9810212146524</v>
      </c>
      <c r="CD63" s="299">
        <v>1019.6905629887248</v>
      </c>
      <c r="CE63" s="298">
        <v>1465.7155021073847</v>
      </c>
      <c r="CF63" s="298">
        <v>974.8905629887247</v>
      </c>
      <c r="CG63" s="299">
        <v>1394.2905252670162</v>
      </c>
      <c r="CH63" s="299">
        <v>940.20640965539178</v>
      </c>
      <c r="CI63" s="298">
        <v>1500.3673536221465</v>
      </c>
      <c r="CJ63" s="298">
        <v>857.20640965539178</v>
      </c>
      <c r="CK63" s="299">
        <v>1629.3491154898006</v>
      </c>
      <c r="CL63" s="299">
        <v>759.57471632205784</v>
      </c>
      <c r="CM63" s="298">
        <v>1723.7267140734048</v>
      </c>
      <c r="CN63" s="298">
        <v>723.37471632205779</v>
      </c>
      <c r="CO63" s="299">
        <v>1735.2540495502972</v>
      </c>
      <c r="CP63" s="299">
        <v>709.57471632205795</v>
      </c>
      <c r="CQ63" s="298">
        <v>1808.5232073766222</v>
      </c>
      <c r="CR63" s="298">
        <v>671.57471632205784</v>
      </c>
      <c r="CS63" s="299">
        <v>1740.5773658665073</v>
      </c>
      <c r="CT63" s="299">
        <v>589.57471632205795</v>
      </c>
      <c r="CU63" s="298">
        <v>1844.7076870468145</v>
      </c>
      <c r="CV63" s="298">
        <v>559.37471632205779</v>
      </c>
      <c r="CW63" s="299">
        <v>1915.2656873708925</v>
      </c>
      <c r="CX63" s="299">
        <v>508.37471632205785</v>
      </c>
      <c r="CY63" s="298">
        <v>2014.1485756184045</v>
      </c>
      <c r="CZ63" s="298">
        <v>463.57471632205784</v>
      </c>
      <c r="DA63" s="299">
        <v>2109.8000070473113</v>
      </c>
      <c r="DB63" s="299">
        <v>390.5747163220579</v>
      </c>
    </row>
    <row r="64" spans="2:106" s="274" customFormat="1" ht="14.25" customHeight="1" x14ac:dyDescent="0.2">
      <c r="B64" s="406" t="s">
        <v>732</v>
      </c>
      <c r="C64" s="287"/>
      <c r="D64" s="287"/>
      <c r="E64" s="406"/>
      <c r="F64" s="406"/>
      <c r="G64" s="303">
        <v>102.91320471458185</v>
      </c>
      <c r="H64" s="303"/>
      <c r="I64" s="304">
        <v>117.8447431722408</v>
      </c>
      <c r="J64" s="304"/>
      <c r="K64" s="303">
        <v>126.53116413111761</v>
      </c>
      <c r="L64" s="303"/>
      <c r="M64" s="304">
        <v>131.23005220188824</v>
      </c>
      <c r="N64" s="304"/>
      <c r="O64" s="303">
        <v>134.66617862755973</v>
      </c>
      <c r="P64" s="303"/>
      <c r="Q64" s="304">
        <v>125.70619538095028</v>
      </c>
      <c r="R64" s="304"/>
      <c r="S64" s="303">
        <v>123.35794965387508</v>
      </c>
      <c r="T64" s="303"/>
      <c r="U64" s="304">
        <v>116.07879522812267</v>
      </c>
      <c r="V64" s="304"/>
      <c r="W64" s="303">
        <v>98.641515433661283</v>
      </c>
      <c r="X64" s="303"/>
      <c r="Y64" s="304">
        <v>95.729161827903624</v>
      </c>
      <c r="Z64" s="304"/>
      <c r="AA64" s="303">
        <v>88.666571118832522</v>
      </c>
      <c r="AB64" s="303"/>
      <c r="AC64" s="304">
        <v>71.169297452667806</v>
      </c>
      <c r="AD64" s="304"/>
      <c r="AE64" s="303">
        <v>98.876744107429715</v>
      </c>
      <c r="AF64" s="303"/>
      <c r="AG64" s="304">
        <v>92.59678642857142</v>
      </c>
      <c r="AH64" s="304"/>
      <c r="AI64" s="305">
        <v>92.237214835826052</v>
      </c>
      <c r="AJ64" s="305"/>
      <c r="AK64" s="304">
        <v>100.8039607387141</v>
      </c>
      <c r="AL64" s="304"/>
      <c r="AM64" s="303">
        <v>116.92502055215505</v>
      </c>
      <c r="AN64" s="303"/>
      <c r="AO64" s="304">
        <v>109.36554435974531</v>
      </c>
      <c r="AP64" s="304"/>
      <c r="AQ64" s="303">
        <v>94.408292186122551</v>
      </c>
      <c r="AR64" s="303"/>
      <c r="AS64" s="304">
        <v>108.6981773919829</v>
      </c>
      <c r="AT64" s="304"/>
      <c r="AU64" s="303">
        <v>111.39423691327553</v>
      </c>
      <c r="AV64" s="303"/>
      <c r="AW64" s="304">
        <v>99.822586321524668</v>
      </c>
      <c r="AX64" s="304"/>
      <c r="AY64" s="303">
        <v>102.62074229262477</v>
      </c>
      <c r="AZ64" s="303"/>
      <c r="BA64" s="304">
        <v>94.073504427405553</v>
      </c>
      <c r="BB64" s="304"/>
      <c r="BC64" s="303">
        <v>96.789703397842644</v>
      </c>
      <c r="BD64" s="303"/>
      <c r="BE64" s="304">
        <v>91.997997071032955</v>
      </c>
      <c r="BF64" s="304"/>
      <c r="BG64" s="303">
        <v>87.19192578765329</v>
      </c>
      <c r="BH64" s="303"/>
      <c r="BI64" s="304">
        <v>70.965764112180054</v>
      </c>
      <c r="BJ64" s="304"/>
      <c r="BK64" s="303">
        <v>93.817450631298442</v>
      </c>
      <c r="BL64" s="303"/>
      <c r="BM64" s="304">
        <v>100.75543561924852</v>
      </c>
      <c r="BN64" s="304"/>
      <c r="BO64" s="303">
        <v>86.021719654115785</v>
      </c>
      <c r="BP64" s="303"/>
      <c r="BQ64" s="304">
        <v>70.670368786420866</v>
      </c>
      <c r="BR64" s="304"/>
      <c r="BS64" s="303">
        <v>92.087174933007702</v>
      </c>
      <c r="BT64" s="303"/>
      <c r="BU64" s="304">
        <v>97.65263300900348</v>
      </c>
      <c r="BV64" s="304"/>
      <c r="BW64" s="303">
        <v>99.895804220735783</v>
      </c>
      <c r="BX64" s="303"/>
      <c r="BY64" s="304">
        <v>99.803663875722393</v>
      </c>
      <c r="BZ64" s="304"/>
      <c r="CA64" s="303">
        <v>89.03846478644256</v>
      </c>
      <c r="CB64" s="303"/>
      <c r="CC64" s="304">
        <v>70.269379670072425</v>
      </c>
      <c r="CD64" s="304"/>
      <c r="CE64" s="303">
        <v>63.00386056280491</v>
      </c>
      <c r="CF64" s="303"/>
      <c r="CG64" s="304">
        <v>67.378883722436299</v>
      </c>
      <c r="CH64" s="304"/>
      <c r="CI64" s="303">
        <v>63.655712077566882</v>
      </c>
      <c r="CJ64" s="303"/>
      <c r="CK64" s="304">
        <v>66.637473945220989</v>
      </c>
      <c r="CL64" s="304"/>
      <c r="CM64" s="303">
        <v>74.515072528825428</v>
      </c>
      <c r="CN64" s="303"/>
      <c r="CO64" s="304">
        <v>80.542408005717903</v>
      </c>
      <c r="CP64" s="304"/>
      <c r="CQ64" s="303">
        <v>102.81156583204307</v>
      </c>
      <c r="CR64" s="303"/>
      <c r="CS64" s="304">
        <v>127.86572432192814</v>
      </c>
      <c r="CT64" s="304"/>
      <c r="CU64" s="303">
        <v>121.76604550223524</v>
      </c>
      <c r="CV64" s="303"/>
      <c r="CW64" s="304">
        <v>124.32404582631312</v>
      </c>
      <c r="CX64" s="304"/>
      <c r="CY64" s="303">
        <v>141.43693407382514</v>
      </c>
      <c r="CZ64" s="303"/>
      <c r="DA64" s="304">
        <v>142.08836550273165</v>
      </c>
      <c r="DB64" s="304"/>
    </row>
    <row r="65" spans="2:106" s="274" customFormat="1" ht="14.25" customHeight="1" x14ac:dyDescent="0.2">
      <c r="B65" s="406" t="s">
        <v>642</v>
      </c>
      <c r="C65" s="287"/>
      <c r="D65" s="287"/>
      <c r="E65" s="406"/>
      <c r="F65" s="406"/>
      <c r="G65" s="303">
        <v>102.91320471458185</v>
      </c>
      <c r="H65" s="303"/>
      <c r="I65" s="304">
        <v>117.8447431722408</v>
      </c>
      <c r="J65" s="304"/>
      <c r="K65" s="303">
        <v>126.53116413111761</v>
      </c>
      <c r="L65" s="303"/>
      <c r="M65" s="304">
        <v>131.23005220188824</v>
      </c>
      <c r="N65" s="304"/>
      <c r="O65" s="303">
        <v>134.66617862755973</v>
      </c>
      <c r="P65" s="303"/>
      <c r="Q65" s="304">
        <v>125.70619538095028</v>
      </c>
      <c r="R65" s="304"/>
      <c r="S65" s="303">
        <v>123.35794965387508</v>
      </c>
      <c r="T65" s="303"/>
      <c r="U65" s="304">
        <v>116.07879522812267</v>
      </c>
      <c r="V65" s="304"/>
      <c r="W65" s="303">
        <v>98.641515433661283</v>
      </c>
      <c r="X65" s="303"/>
      <c r="Y65" s="304">
        <v>95.729161827903624</v>
      </c>
      <c r="Z65" s="304"/>
      <c r="AA65" s="303">
        <v>88.666571118832522</v>
      </c>
      <c r="AB65" s="303"/>
      <c r="AC65" s="304">
        <v>71.169297452667806</v>
      </c>
      <c r="AD65" s="304"/>
      <c r="AE65" s="303">
        <v>98.876744107429715</v>
      </c>
      <c r="AF65" s="303"/>
      <c r="AG65" s="304">
        <v>92.59678642857142</v>
      </c>
      <c r="AH65" s="304"/>
      <c r="AI65" s="305">
        <v>92.237214835826052</v>
      </c>
      <c r="AJ65" s="305"/>
      <c r="AK65" s="304">
        <v>100.8039607387141</v>
      </c>
      <c r="AL65" s="304"/>
      <c r="AM65" s="303">
        <v>116.92502055215505</v>
      </c>
      <c r="AN65" s="303"/>
      <c r="AO65" s="304">
        <v>109.36554435974531</v>
      </c>
      <c r="AP65" s="304"/>
      <c r="AQ65" s="303">
        <v>94.408292186122551</v>
      </c>
      <c r="AR65" s="303"/>
      <c r="AS65" s="304">
        <v>108.6981773919829</v>
      </c>
      <c r="AT65" s="304"/>
      <c r="AU65" s="303">
        <v>111.39423691327553</v>
      </c>
      <c r="AV65" s="303"/>
      <c r="AW65" s="304">
        <v>99.822586321524668</v>
      </c>
      <c r="AX65" s="304"/>
      <c r="AY65" s="303">
        <v>102.62074229262477</v>
      </c>
      <c r="AZ65" s="303"/>
      <c r="BA65" s="304">
        <v>94.073504427405553</v>
      </c>
      <c r="BB65" s="304"/>
      <c r="BC65" s="303">
        <v>96.789703397842644</v>
      </c>
      <c r="BD65" s="303"/>
      <c r="BE65" s="304">
        <v>91.997997071032955</v>
      </c>
      <c r="BF65" s="304"/>
      <c r="BG65" s="303">
        <v>87.19192578765329</v>
      </c>
      <c r="BH65" s="303"/>
      <c r="BI65" s="304">
        <v>70.965764112180054</v>
      </c>
      <c r="BJ65" s="304"/>
      <c r="BK65" s="303">
        <v>93.817450631298442</v>
      </c>
      <c r="BL65" s="303"/>
      <c r="BM65" s="304">
        <v>100.75543561924852</v>
      </c>
      <c r="BN65" s="304"/>
      <c r="BO65" s="303">
        <v>86.021719654115785</v>
      </c>
      <c r="BP65" s="303"/>
      <c r="BQ65" s="304">
        <v>70.670368786420866</v>
      </c>
      <c r="BR65" s="304"/>
      <c r="BS65" s="303">
        <v>92.087174933007702</v>
      </c>
      <c r="BT65" s="303"/>
      <c r="BU65" s="304">
        <v>97.65263300900348</v>
      </c>
      <c r="BV65" s="304"/>
      <c r="BW65" s="303">
        <v>99.895804220735783</v>
      </c>
      <c r="BX65" s="303"/>
      <c r="BY65" s="304">
        <v>99.803663875722393</v>
      </c>
      <c r="BZ65" s="304"/>
      <c r="CA65" s="303">
        <v>89.03846478644256</v>
      </c>
      <c r="CB65" s="303"/>
      <c r="CC65" s="304">
        <v>70.269379670072425</v>
      </c>
      <c r="CD65" s="304"/>
      <c r="CE65" s="303">
        <v>63.00386056280491</v>
      </c>
      <c r="CF65" s="303"/>
      <c r="CG65" s="304">
        <v>67.378883722436299</v>
      </c>
      <c r="CH65" s="304"/>
      <c r="CI65" s="303">
        <v>63.655712077566882</v>
      </c>
      <c r="CJ65" s="303"/>
      <c r="CK65" s="304">
        <v>66.637473945220989</v>
      </c>
      <c r="CL65" s="304"/>
      <c r="CM65" s="303">
        <v>74.515072528825428</v>
      </c>
      <c r="CN65" s="303"/>
      <c r="CO65" s="304">
        <v>80.542408005717903</v>
      </c>
      <c r="CP65" s="304"/>
      <c r="CQ65" s="303">
        <v>102.81156583204307</v>
      </c>
      <c r="CR65" s="303"/>
      <c r="CS65" s="304">
        <v>127.86572432192814</v>
      </c>
      <c r="CT65" s="304"/>
      <c r="CU65" s="303">
        <v>121.76604550223524</v>
      </c>
      <c r="CV65" s="303"/>
      <c r="CW65" s="304">
        <v>124.32404582631312</v>
      </c>
      <c r="CX65" s="304"/>
      <c r="CY65" s="303">
        <v>141.43693407382514</v>
      </c>
      <c r="CZ65" s="303"/>
      <c r="DA65" s="304">
        <v>142.08836550273165</v>
      </c>
      <c r="DB65" s="304"/>
    </row>
    <row r="66" spans="2:106" ht="14.25" customHeight="1" x14ac:dyDescent="0.25">
      <c r="B66" s="406" t="s">
        <v>737</v>
      </c>
      <c r="C66" s="393"/>
      <c r="D66" s="393"/>
      <c r="E66" s="406"/>
      <c r="F66" s="406"/>
      <c r="G66" s="303">
        <v>131.5537279161816</v>
      </c>
      <c r="H66" s="303">
        <v>1909.7182467996774</v>
      </c>
      <c r="I66" s="304">
        <v>342.06118269661096</v>
      </c>
      <c r="J66" s="304">
        <v>2088.5196086664705</v>
      </c>
      <c r="K66" s="303">
        <v>413.09802102503625</v>
      </c>
      <c r="L66" s="303">
        <v>2200.6077084060162</v>
      </c>
      <c r="M66" s="304">
        <v>506.87866349976679</v>
      </c>
      <c r="N66" s="304">
        <v>2131.2025561230625</v>
      </c>
      <c r="O66" s="303">
        <v>600.65930597449744</v>
      </c>
      <c r="P66" s="303">
        <v>2050.7974038401085</v>
      </c>
      <c r="Q66" s="304">
        <v>694.43994844922815</v>
      </c>
      <c r="R66" s="304">
        <v>1674.3922515571544</v>
      </c>
      <c r="S66" s="303">
        <v>471.16212760091628</v>
      </c>
      <c r="T66" s="303">
        <v>1534.0424863644598</v>
      </c>
      <c r="U66" s="304">
        <v>507.71180409957742</v>
      </c>
      <c r="V66" s="304">
        <v>1629.8814557099543</v>
      </c>
      <c r="W66" s="303">
        <v>544.26148059823856</v>
      </c>
      <c r="X66" s="303">
        <v>1480.7204250554482</v>
      </c>
      <c r="Y66" s="304">
        <v>580.81115709689971</v>
      </c>
      <c r="Z66" s="304">
        <v>1374.5593944009429</v>
      </c>
      <c r="AA66" s="303">
        <v>699.97314707341582</v>
      </c>
      <c r="AB66" s="303">
        <v>1251.9667170556374</v>
      </c>
      <c r="AC66" s="304">
        <v>671.31852537101213</v>
      </c>
      <c r="AD66" s="304">
        <v>1399.1083874303092</v>
      </c>
      <c r="AE66" s="303">
        <v>642.66390366860844</v>
      </c>
      <c r="AF66" s="303">
        <v>1411.2500578049812</v>
      </c>
      <c r="AG66" s="304">
        <v>614.00928196620475</v>
      </c>
      <c r="AH66" s="304">
        <v>1480.391728179653</v>
      </c>
      <c r="AI66" s="305">
        <v>879.34554852817053</v>
      </c>
      <c r="AJ66" s="305">
        <v>1941.89868665837</v>
      </c>
      <c r="AK66" s="304">
        <v>883.80998687160081</v>
      </c>
      <c r="AL66" s="304">
        <v>1885.4227645569863</v>
      </c>
      <c r="AM66" s="303">
        <v>888.2744252150311</v>
      </c>
      <c r="AN66" s="303">
        <v>1581.6135091222686</v>
      </c>
      <c r="AO66" s="304">
        <v>892.73886355846139</v>
      </c>
      <c r="AP66" s="304">
        <v>1930.1375870208844</v>
      </c>
      <c r="AQ66" s="303">
        <v>942.40685305609952</v>
      </c>
      <c r="AR66" s="303">
        <v>2043.7727587906727</v>
      </c>
      <c r="AS66" s="304">
        <v>988.99021549784993</v>
      </c>
      <c r="AT66" s="304">
        <v>2163.6477271122371</v>
      </c>
      <c r="AU66" s="303">
        <v>1035.5735779396005</v>
      </c>
      <c r="AV66" s="303">
        <v>2347.5226954338018</v>
      </c>
      <c r="AW66" s="304">
        <v>1082.1569403813512</v>
      </c>
      <c r="AX66" s="304">
        <v>2184.3976637553665</v>
      </c>
      <c r="AY66" s="303">
        <v>1083.152729959658</v>
      </c>
      <c r="AZ66" s="303">
        <v>2162.5457182326381</v>
      </c>
      <c r="BA66" s="304">
        <v>1084.1485195379648</v>
      </c>
      <c r="BB66" s="304">
        <v>2267.6937727099098</v>
      </c>
      <c r="BC66" s="303">
        <v>1085.1443091162716</v>
      </c>
      <c r="BD66" s="303">
        <v>2241.8418271871819</v>
      </c>
      <c r="BE66" s="304">
        <v>1086.1400986945785</v>
      </c>
      <c r="BF66" s="304">
        <v>2155.9898816644536</v>
      </c>
      <c r="BG66" s="303">
        <v>1027.9445528320784</v>
      </c>
      <c r="BH66" s="303">
        <v>2287.7075398044535</v>
      </c>
      <c r="BI66" s="304">
        <v>969.74900696957843</v>
      </c>
      <c r="BJ66" s="304">
        <v>1908.4251979444534</v>
      </c>
      <c r="BK66" s="303">
        <v>911.55346110707842</v>
      </c>
      <c r="BL66" s="303">
        <v>2040.1428560844536</v>
      </c>
      <c r="BM66" s="304">
        <v>853.35791524457841</v>
      </c>
      <c r="BN66" s="304">
        <v>2340.8605142244537</v>
      </c>
      <c r="BO66" s="303">
        <v>918.10791524457954</v>
      </c>
      <c r="BP66" s="303">
        <v>2553.9999999999995</v>
      </c>
      <c r="BQ66" s="304">
        <v>983.10791524457977</v>
      </c>
      <c r="BR66" s="304">
        <v>2473.9999999999991</v>
      </c>
      <c r="BS66" s="303">
        <v>1048.10791524458</v>
      </c>
      <c r="BT66" s="303">
        <v>2660.9999999999991</v>
      </c>
      <c r="BU66" s="304">
        <v>1113.1079152445802</v>
      </c>
      <c r="BV66" s="304">
        <v>1914.7458824274856</v>
      </c>
      <c r="BW66" s="303">
        <v>1190.5088468195802</v>
      </c>
      <c r="BX66" s="303">
        <v>1618.1282644331689</v>
      </c>
      <c r="BY66" s="304">
        <v>1267.9097783945801</v>
      </c>
      <c r="BZ66" s="304">
        <v>1479.3950564331692</v>
      </c>
      <c r="CA66" s="303">
        <v>1345.3107099695801</v>
      </c>
      <c r="CB66" s="303">
        <v>1283.4762444331689</v>
      </c>
      <c r="CC66" s="304">
        <v>1422.7116415445801</v>
      </c>
      <c r="CD66" s="304">
        <v>1019.6905629887248</v>
      </c>
      <c r="CE66" s="303">
        <v>1402.7116415445798</v>
      </c>
      <c r="CF66" s="303">
        <v>974.8905629887247</v>
      </c>
      <c r="CG66" s="304">
        <v>1326.9116415445799</v>
      </c>
      <c r="CH66" s="304">
        <v>940.20640965539178</v>
      </c>
      <c r="CI66" s="303">
        <v>1436.7116415445796</v>
      </c>
      <c r="CJ66" s="303">
        <v>857.20640965539178</v>
      </c>
      <c r="CK66" s="304">
        <v>1562.7116415445796</v>
      </c>
      <c r="CL66" s="304">
        <v>759.57471632205784</v>
      </c>
      <c r="CM66" s="303">
        <v>1649.2116415445794</v>
      </c>
      <c r="CN66" s="303">
        <v>723.37471632205779</v>
      </c>
      <c r="CO66" s="304">
        <v>1654.7116415445792</v>
      </c>
      <c r="CP66" s="304">
        <v>709.57471632205795</v>
      </c>
      <c r="CQ66" s="303">
        <v>1705.7116415445792</v>
      </c>
      <c r="CR66" s="303">
        <v>671.57471632205784</v>
      </c>
      <c r="CS66" s="304">
        <v>1612.7116415445792</v>
      </c>
      <c r="CT66" s="304">
        <v>589.57471632205795</v>
      </c>
      <c r="CU66" s="303">
        <v>1722.9416415445792</v>
      </c>
      <c r="CV66" s="303">
        <v>559.37471632205779</v>
      </c>
      <c r="CW66" s="304">
        <v>1790.9416415445794</v>
      </c>
      <c r="CX66" s="304">
        <v>508.37471632205785</v>
      </c>
      <c r="CY66" s="303">
        <v>1872.7116415445794</v>
      </c>
      <c r="CZ66" s="303">
        <v>463.57471632205784</v>
      </c>
      <c r="DA66" s="304">
        <v>1967.7116415445796</v>
      </c>
      <c r="DB66" s="304">
        <v>390.5747163220579</v>
      </c>
    </row>
    <row r="67" spans="2:106" ht="14.25" customHeight="1" x14ac:dyDescent="0.25">
      <c r="B67" s="406" t="s">
        <v>642</v>
      </c>
      <c r="C67" s="393"/>
      <c r="D67" s="393"/>
      <c r="E67" s="406"/>
      <c r="F67" s="406"/>
      <c r="G67" s="303">
        <v>131.5537279161816</v>
      </c>
      <c r="H67" s="303">
        <v>1909.7182467996774</v>
      </c>
      <c r="I67" s="304">
        <v>342.06118269661096</v>
      </c>
      <c r="J67" s="304">
        <v>2088.5196086664705</v>
      </c>
      <c r="K67" s="303">
        <v>413.09802102503625</v>
      </c>
      <c r="L67" s="303">
        <v>2200.6077084060162</v>
      </c>
      <c r="M67" s="304">
        <v>506.87866349976679</v>
      </c>
      <c r="N67" s="304">
        <v>2131.2025561230625</v>
      </c>
      <c r="O67" s="303">
        <v>600.65930597449744</v>
      </c>
      <c r="P67" s="303">
        <v>2050.7974038401085</v>
      </c>
      <c r="Q67" s="304">
        <v>694.43994844922815</v>
      </c>
      <c r="R67" s="304">
        <v>1674.3922515571544</v>
      </c>
      <c r="S67" s="303">
        <v>471.16212760091628</v>
      </c>
      <c r="T67" s="303">
        <v>1534.0424863644598</v>
      </c>
      <c r="U67" s="304">
        <v>507.71180409957742</v>
      </c>
      <c r="V67" s="304">
        <v>1629.8814557099543</v>
      </c>
      <c r="W67" s="303">
        <v>544.26148059823856</v>
      </c>
      <c r="X67" s="303">
        <v>1480.7204250554482</v>
      </c>
      <c r="Y67" s="304">
        <v>580.81115709689971</v>
      </c>
      <c r="Z67" s="304">
        <v>1374.5593944009429</v>
      </c>
      <c r="AA67" s="303">
        <v>699.97314707341582</v>
      </c>
      <c r="AB67" s="303">
        <v>1251.9667170556374</v>
      </c>
      <c r="AC67" s="304">
        <v>671.31852537101213</v>
      </c>
      <c r="AD67" s="304">
        <v>1399.1083874303092</v>
      </c>
      <c r="AE67" s="303">
        <v>642.66390366860844</v>
      </c>
      <c r="AF67" s="303">
        <v>1411.2500578049812</v>
      </c>
      <c r="AG67" s="304">
        <v>614.00928196620475</v>
      </c>
      <c r="AH67" s="304">
        <v>1480.391728179653</v>
      </c>
      <c r="AI67" s="305">
        <v>879.34554852817053</v>
      </c>
      <c r="AJ67" s="305">
        <v>1941.89868665837</v>
      </c>
      <c r="AK67" s="304">
        <v>883.80998687160081</v>
      </c>
      <c r="AL67" s="304">
        <v>1885.4227645569863</v>
      </c>
      <c r="AM67" s="303">
        <v>888.2744252150311</v>
      </c>
      <c r="AN67" s="303">
        <v>1581.6135091222686</v>
      </c>
      <c r="AO67" s="304">
        <v>892.73886355846139</v>
      </c>
      <c r="AP67" s="304">
        <v>1930.1375870208844</v>
      </c>
      <c r="AQ67" s="303">
        <v>942.40685305609952</v>
      </c>
      <c r="AR67" s="303">
        <v>2043.7727587906727</v>
      </c>
      <c r="AS67" s="304">
        <v>988.99021549784993</v>
      </c>
      <c r="AT67" s="304">
        <v>2163.6477271122371</v>
      </c>
      <c r="AU67" s="303">
        <v>1035.5735779396005</v>
      </c>
      <c r="AV67" s="303">
        <v>2347.5226954338018</v>
      </c>
      <c r="AW67" s="304">
        <v>1082.1569403813512</v>
      </c>
      <c r="AX67" s="304">
        <v>2184.3976637553665</v>
      </c>
      <c r="AY67" s="303">
        <v>1083.152729959658</v>
      </c>
      <c r="AZ67" s="303">
        <v>2162.5457182326381</v>
      </c>
      <c r="BA67" s="304">
        <v>1084.1485195379648</v>
      </c>
      <c r="BB67" s="304">
        <v>2267.6937727099098</v>
      </c>
      <c r="BC67" s="303">
        <v>1085.1443091162716</v>
      </c>
      <c r="BD67" s="303">
        <v>2241.8418271871819</v>
      </c>
      <c r="BE67" s="304">
        <v>1086.1400986945785</v>
      </c>
      <c r="BF67" s="304">
        <v>2155.9898816644536</v>
      </c>
      <c r="BG67" s="303">
        <v>1027.9445528320784</v>
      </c>
      <c r="BH67" s="303">
        <v>2287.7075398044535</v>
      </c>
      <c r="BI67" s="304">
        <v>969.74900696957843</v>
      </c>
      <c r="BJ67" s="304">
        <v>1908.4251979444534</v>
      </c>
      <c r="BK67" s="303">
        <v>911.55346110707842</v>
      </c>
      <c r="BL67" s="303">
        <v>2040.1428560844536</v>
      </c>
      <c r="BM67" s="304">
        <v>853.35791524457841</v>
      </c>
      <c r="BN67" s="304">
        <v>2340.8605142244537</v>
      </c>
      <c r="BO67" s="303">
        <v>918.10791524457954</v>
      </c>
      <c r="BP67" s="303">
        <v>2553.9999999999995</v>
      </c>
      <c r="BQ67" s="304">
        <v>983.10791524457977</v>
      </c>
      <c r="BR67" s="304">
        <v>2473.9999999999991</v>
      </c>
      <c r="BS67" s="303">
        <v>1048.10791524458</v>
      </c>
      <c r="BT67" s="303">
        <v>2660.9999999999991</v>
      </c>
      <c r="BU67" s="304">
        <v>1113.1079152445802</v>
      </c>
      <c r="BV67" s="304">
        <v>1914.7458824274856</v>
      </c>
      <c r="BW67" s="303">
        <v>1190.5088468195802</v>
      </c>
      <c r="BX67" s="303">
        <v>1618.1282644331689</v>
      </c>
      <c r="BY67" s="304">
        <v>1267.9097783945801</v>
      </c>
      <c r="BZ67" s="304">
        <v>1479.3950564331692</v>
      </c>
      <c r="CA67" s="303">
        <v>1345.3107099695801</v>
      </c>
      <c r="CB67" s="303">
        <v>1283.4762444331689</v>
      </c>
      <c r="CC67" s="304">
        <v>1422.7116415445801</v>
      </c>
      <c r="CD67" s="304">
        <v>1019.6905629887248</v>
      </c>
      <c r="CE67" s="303">
        <v>1402.7116415445798</v>
      </c>
      <c r="CF67" s="303">
        <v>974.8905629887247</v>
      </c>
      <c r="CG67" s="304">
        <v>1326.9116415445799</v>
      </c>
      <c r="CH67" s="304">
        <v>940.20640965539178</v>
      </c>
      <c r="CI67" s="303">
        <v>1436.7116415445796</v>
      </c>
      <c r="CJ67" s="303">
        <v>857.20640965539178</v>
      </c>
      <c r="CK67" s="304">
        <v>1562.7116415445796</v>
      </c>
      <c r="CL67" s="304">
        <v>759.57471632205784</v>
      </c>
      <c r="CM67" s="303">
        <v>1649.2116415445794</v>
      </c>
      <c r="CN67" s="303">
        <v>723.37471632205779</v>
      </c>
      <c r="CO67" s="304">
        <v>1654.7116415445792</v>
      </c>
      <c r="CP67" s="304">
        <v>709.57471632205795</v>
      </c>
      <c r="CQ67" s="303">
        <v>1705.7116415445792</v>
      </c>
      <c r="CR67" s="303">
        <v>671.57471632205784</v>
      </c>
      <c r="CS67" s="304">
        <v>1612.7116415445792</v>
      </c>
      <c r="CT67" s="304">
        <v>589.57471632205795</v>
      </c>
      <c r="CU67" s="303">
        <v>1722.9416415445792</v>
      </c>
      <c r="CV67" s="303">
        <v>559.37471632205779</v>
      </c>
      <c r="CW67" s="304">
        <v>1790.9416415445794</v>
      </c>
      <c r="CX67" s="304">
        <v>508.37471632205785</v>
      </c>
      <c r="CY67" s="303">
        <v>1872.7116415445794</v>
      </c>
      <c r="CZ67" s="303">
        <v>463.57471632205784</v>
      </c>
      <c r="DA67" s="304">
        <v>1967.7116415445796</v>
      </c>
      <c r="DB67" s="304">
        <v>390.5747163220579</v>
      </c>
    </row>
    <row r="68" spans="2:106" x14ac:dyDescent="0.25">
      <c r="B68" s="393"/>
      <c r="C68" s="393"/>
      <c r="D68" s="393"/>
      <c r="E68" s="393"/>
      <c r="F68" s="393"/>
      <c r="G68" s="407"/>
      <c r="H68" s="407"/>
      <c r="I68" s="408"/>
      <c r="J68" s="408"/>
      <c r="K68" s="407"/>
      <c r="L68" s="407"/>
      <c r="M68" s="408"/>
      <c r="N68" s="408"/>
      <c r="O68" s="407"/>
      <c r="P68" s="407"/>
      <c r="Q68" s="408"/>
      <c r="R68" s="408"/>
      <c r="S68" s="407"/>
      <c r="T68" s="407"/>
      <c r="U68" s="408"/>
      <c r="V68" s="408"/>
      <c r="W68" s="407"/>
      <c r="X68" s="407"/>
      <c r="Y68" s="408"/>
      <c r="Z68" s="408"/>
      <c r="AA68" s="407"/>
      <c r="AB68" s="407"/>
      <c r="AC68" s="408"/>
      <c r="AD68" s="408"/>
      <c r="AE68" s="407"/>
      <c r="AF68" s="407"/>
      <c r="AG68" s="408"/>
      <c r="AH68" s="408"/>
      <c r="AI68" s="409"/>
      <c r="AJ68" s="409"/>
      <c r="AK68" s="408"/>
      <c r="AL68" s="408"/>
      <c r="AM68" s="407"/>
      <c r="AN68" s="407"/>
      <c r="AO68" s="408"/>
      <c r="AP68" s="408"/>
      <c r="AQ68" s="407"/>
      <c r="AR68" s="407"/>
      <c r="AS68" s="408"/>
      <c r="AT68" s="408"/>
      <c r="AU68" s="407"/>
      <c r="AV68" s="407"/>
      <c r="AW68" s="408"/>
      <c r="AX68" s="408"/>
      <c r="AY68" s="407"/>
      <c r="AZ68" s="407"/>
      <c r="BA68" s="408"/>
      <c r="BB68" s="408"/>
      <c r="BC68" s="407"/>
      <c r="BD68" s="407"/>
      <c r="BE68" s="408"/>
      <c r="BF68" s="408"/>
      <c r="BG68" s="407"/>
      <c r="BH68" s="407"/>
      <c r="BI68" s="408"/>
      <c r="BJ68" s="408"/>
      <c r="BK68" s="407"/>
      <c r="BL68" s="407"/>
      <c r="BM68" s="408"/>
      <c r="BN68" s="408"/>
      <c r="BO68" s="407"/>
      <c r="BP68" s="407"/>
      <c r="BQ68" s="408"/>
      <c r="BR68" s="408"/>
      <c r="BS68" s="407"/>
      <c r="BT68" s="407"/>
      <c r="BU68" s="408"/>
      <c r="BV68" s="408"/>
      <c r="BW68" s="407"/>
      <c r="BX68" s="407"/>
      <c r="BY68" s="408"/>
      <c r="BZ68" s="408"/>
      <c r="CA68" s="407"/>
      <c r="CB68" s="407"/>
      <c r="CC68" s="408"/>
      <c r="CD68" s="408"/>
      <c r="CE68" s="407"/>
      <c r="CF68" s="407"/>
      <c r="CG68" s="408"/>
      <c r="CH68" s="408"/>
      <c r="CI68" s="407"/>
      <c r="CJ68" s="407"/>
      <c r="CK68" s="408"/>
      <c r="CL68" s="408"/>
      <c r="CM68" s="407"/>
      <c r="CN68" s="407"/>
      <c r="CO68" s="408"/>
      <c r="CP68" s="408"/>
      <c r="CQ68" s="407"/>
      <c r="CR68" s="407"/>
      <c r="CS68" s="408"/>
      <c r="CT68" s="408"/>
      <c r="CU68" s="407"/>
      <c r="CV68" s="407"/>
      <c r="CW68" s="408"/>
      <c r="CX68" s="408"/>
      <c r="CY68" s="407"/>
      <c r="CZ68" s="407"/>
      <c r="DA68" s="408"/>
      <c r="DB68" s="408"/>
    </row>
    <row r="69" spans="2:106" s="274" customFormat="1" ht="14.25" customHeight="1" x14ac:dyDescent="0.2">
      <c r="B69" s="405" t="s">
        <v>740</v>
      </c>
      <c r="C69" s="287"/>
      <c r="D69" s="287"/>
      <c r="E69" s="405"/>
      <c r="F69" s="405"/>
      <c r="G69" s="298">
        <v>635.42815799999994</v>
      </c>
      <c r="H69" s="298">
        <v>227.69560243408347</v>
      </c>
      <c r="I69" s="299">
        <v>677.64410759217776</v>
      </c>
      <c r="J69" s="299">
        <v>285.28257993315646</v>
      </c>
      <c r="K69" s="298">
        <v>869.67671019000011</v>
      </c>
      <c r="L69" s="298">
        <v>173.76697542000491</v>
      </c>
      <c r="M69" s="299">
        <v>962.51318093840609</v>
      </c>
      <c r="N69" s="299">
        <v>339.36040334999211</v>
      </c>
      <c r="O69" s="298">
        <v>851.06085953362231</v>
      </c>
      <c r="P69" s="298">
        <v>227.1464894099671</v>
      </c>
      <c r="Q69" s="299">
        <v>991.919028513086</v>
      </c>
      <c r="R69" s="299">
        <v>436.71053579359113</v>
      </c>
      <c r="S69" s="298">
        <v>1100.8111361926258</v>
      </c>
      <c r="T69" s="298">
        <v>243.75862722347628</v>
      </c>
      <c r="U69" s="299">
        <v>1096.0912490650712</v>
      </c>
      <c r="V69" s="299">
        <v>423.71690222887059</v>
      </c>
      <c r="W69" s="298">
        <v>1057.6428396945485</v>
      </c>
      <c r="X69" s="298">
        <v>231.29992304007195</v>
      </c>
      <c r="Y69" s="299">
        <v>1236.4164670423838</v>
      </c>
      <c r="Z69" s="299">
        <v>478.17825222997271</v>
      </c>
      <c r="AA69" s="298">
        <v>1296.969423210563</v>
      </c>
      <c r="AB69" s="298">
        <v>250.24696829006257</v>
      </c>
      <c r="AC69" s="299">
        <v>1364.6745587199998</v>
      </c>
      <c r="AD69" s="299">
        <v>444.53705846003442</v>
      </c>
      <c r="AE69" s="298">
        <v>1690.4251943500003</v>
      </c>
      <c r="AF69" s="298">
        <v>275.62167191992523</v>
      </c>
      <c r="AG69" s="299">
        <v>1615.3655258499998</v>
      </c>
      <c r="AH69" s="299">
        <v>533.1349472899866</v>
      </c>
      <c r="AI69" s="300">
        <v>1217.51913883</v>
      </c>
      <c r="AJ69" s="300">
        <v>295.77042510844535</v>
      </c>
      <c r="AK69" s="299">
        <v>1414.3559719900004</v>
      </c>
      <c r="AL69" s="299">
        <v>482.71633421998564</v>
      </c>
      <c r="AM69" s="298">
        <v>1637.4540476340005</v>
      </c>
      <c r="AN69" s="298">
        <v>213.9890096899835</v>
      </c>
      <c r="AO69" s="299">
        <v>1584.2980877199998</v>
      </c>
      <c r="AP69" s="299">
        <v>594.47370928999283</v>
      </c>
      <c r="AQ69" s="298">
        <v>1603.30580362</v>
      </c>
      <c r="AR69" s="298">
        <v>251.16804906999633</v>
      </c>
      <c r="AS69" s="299">
        <v>1515.2046497800002</v>
      </c>
      <c r="AT69" s="299">
        <v>514.66089356002794</v>
      </c>
      <c r="AU69" s="298">
        <v>1548.34083394</v>
      </c>
      <c r="AV69" s="298">
        <v>218.07060570999593</v>
      </c>
      <c r="AW69" s="299">
        <v>1700.04557909</v>
      </c>
      <c r="AX69" s="299">
        <v>432.08386743002325</v>
      </c>
      <c r="AY69" s="298">
        <v>1762.87546363</v>
      </c>
      <c r="AZ69" s="298">
        <v>228.96001065003122</v>
      </c>
      <c r="BA69" s="299">
        <v>1638.3487926900002</v>
      </c>
      <c r="BB69" s="299">
        <v>383.63517133000346</v>
      </c>
      <c r="BC69" s="298">
        <v>1799.6097012300002</v>
      </c>
      <c r="BD69" s="298">
        <v>214.71080418002364</v>
      </c>
      <c r="BE69" s="299">
        <v>1896.4141372599993</v>
      </c>
      <c r="BF69" s="299">
        <v>456.18926216000312</v>
      </c>
      <c r="BG69" s="298">
        <v>2207.5202826373297</v>
      </c>
      <c r="BH69" s="298">
        <v>219.48264894997234</v>
      </c>
      <c r="BI69" s="299">
        <v>1954.331489651287</v>
      </c>
      <c r="BJ69" s="299">
        <v>273.37845593000458</v>
      </c>
      <c r="BK69" s="298">
        <v>1762.9264765067278</v>
      </c>
      <c r="BL69" s="298">
        <v>158.72236904001889</v>
      </c>
      <c r="BM69" s="299">
        <v>1920.1923357457126</v>
      </c>
      <c r="BN69" s="299">
        <v>342.56233419999762</v>
      </c>
      <c r="BO69" s="298">
        <v>1840.0575087607344</v>
      </c>
      <c r="BP69" s="298">
        <v>276.03698290002347</v>
      </c>
      <c r="BQ69" s="299">
        <v>1909.1647197824925</v>
      </c>
      <c r="BR69" s="299">
        <v>461.01486233001111</v>
      </c>
      <c r="BS69" s="298">
        <v>2110.9659340642856</v>
      </c>
      <c r="BT69" s="298">
        <v>233.37437905000203</v>
      </c>
      <c r="BU69" s="299">
        <v>1743.7201108832678</v>
      </c>
      <c r="BV69" s="299">
        <v>522.64417287992342</v>
      </c>
      <c r="BW69" s="298">
        <v>1955.6336028963919</v>
      </c>
      <c r="BX69" s="298">
        <v>1301.3882131299999</v>
      </c>
      <c r="BY69" s="299">
        <v>1936.8650080243938</v>
      </c>
      <c r="BZ69" s="299">
        <v>1916.5834276500218</v>
      </c>
      <c r="CA69" s="298">
        <v>2377.5426975369328</v>
      </c>
      <c r="CB69" s="298">
        <v>2022.0506914799946</v>
      </c>
      <c r="CC69" s="299">
        <v>2249.9562367977123</v>
      </c>
      <c r="CD69" s="299">
        <v>2027.6448692199883</v>
      </c>
      <c r="CE69" s="298">
        <v>2636.2468357543385</v>
      </c>
      <c r="CF69" s="298">
        <v>1992.7379797399944</v>
      </c>
      <c r="CG69" s="299">
        <v>2792.6758225068406</v>
      </c>
      <c r="CH69" s="299">
        <v>1991.7414075000163</v>
      </c>
      <c r="CI69" s="298">
        <v>3106.7127933191305</v>
      </c>
      <c r="CJ69" s="298">
        <v>2198.2631571300221</v>
      </c>
      <c r="CK69" s="299">
        <v>2971.1768669085782</v>
      </c>
      <c r="CL69" s="299">
        <v>0</v>
      </c>
      <c r="CM69" s="298">
        <v>2870.2961009722717</v>
      </c>
      <c r="CN69" s="298">
        <v>0</v>
      </c>
      <c r="CO69" s="299">
        <v>3024.5651877641449</v>
      </c>
      <c r="CP69" s="299">
        <v>0</v>
      </c>
      <c r="CQ69" s="298">
        <v>3138.4683684507281</v>
      </c>
      <c r="CR69" s="298">
        <v>0</v>
      </c>
      <c r="CS69" s="299">
        <v>2929.5756261866627</v>
      </c>
      <c r="CT69" s="299">
        <v>0</v>
      </c>
      <c r="CU69" s="298">
        <v>3272.0316949482581</v>
      </c>
      <c r="CV69" s="298">
        <v>0</v>
      </c>
      <c r="CW69" s="299">
        <v>3522.0621564927915</v>
      </c>
      <c r="CX69" s="299">
        <v>0</v>
      </c>
      <c r="CY69" s="298">
        <v>3749.58635910255</v>
      </c>
      <c r="CZ69" s="298">
        <v>0</v>
      </c>
      <c r="DA69" s="299">
        <v>3907.7198813734349</v>
      </c>
      <c r="DB69" s="299">
        <v>0</v>
      </c>
    </row>
    <row r="70" spans="2:106" s="274" customFormat="1" ht="14.25" customHeight="1" x14ac:dyDescent="0.2">
      <c r="B70" s="406" t="s">
        <v>726</v>
      </c>
      <c r="C70" s="287"/>
      <c r="D70" s="287"/>
      <c r="E70" s="406"/>
      <c r="F70" s="406"/>
      <c r="G70" s="303"/>
      <c r="H70" s="303">
        <v>227.69560243408347</v>
      </c>
      <c r="I70" s="304"/>
      <c r="J70" s="304">
        <v>285.28257993315646</v>
      </c>
      <c r="K70" s="303"/>
      <c r="L70" s="303">
        <v>173.76697542000491</v>
      </c>
      <c r="M70" s="304"/>
      <c r="N70" s="304">
        <v>339.36040334999211</v>
      </c>
      <c r="O70" s="303"/>
      <c r="P70" s="303">
        <v>227.1464894099671</v>
      </c>
      <c r="Q70" s="304"/>
      <c r="R70" s="304">
        <v>436.71053579359113</v>
      </c>
      <c r="S70" s="303"/>
      <c r="T70" s="303">
        <v>243.75862722347628</v>
      </c>
      <c r="U70" s="304"/>
      <c r="V70" s="304">
        <v>423.71690222887059</v>
      </c>
      <c r="W70" s="303"/>
      <c r="X70" s="303">
        <v>231.29992304007195</v>
      </c>
      <c r="Y70" s="304"/>
      <c r="Z70" s="304">
        <v>478.17825222997271</v>
      </c>
      <c r="AA70" s="303"/>
      <c r="AB70" s="303">
        <v>250.24696829006257</v>
      </c>
      <c r="AC70" s="304"/>
      <c r="AD70" s="304">
        <v>444.53705846003442</v>
      </c>
      <c r="AE70" s="303"/>
      <c r="AF70" s="303">
        <v>275.62167191992523</v>
      </c>
      <c r="AG70" s="304"/>
      <c r="AH70" s="304">
        <v>533.1349472899866</v>
      </c>
      <c r="AI70" s="305"/>
      <c r="AJ70" s="305">
        <v>295.77042510844535</v>
      </c>
      <c r="AK70" s="304"/>
      <c r="AL70" s="304">
        <v>482.71633421998564</v>
      </c>
      <c r="AM70" s="303"/>
      <c r="AN70" s="303">
        <v>213.9890096899835</v>
      </c>
      <c r="AO70" s="304"/>
      <c r="AP70" s="304">
        <v>594.47370928999283</v>
      </c>
      <c r="AQ70" s="303"/>
      <c r="AR70" s="303">
        <v>251.16804906999633</v>
      </c>
      <c r="AS70" s="304"/>
      <c r="AT70" s="304">
        <v>514.66089356002794</v>
      </c>
      <c r="AU70" s="303"/>
      <c r="AV70" s="303">
        <v>218.07060570999593</v>
      </c>
      <c r="AW70" s="304"/>
      <c r="AX70" s="304">
        <v>432.08386743002325</v>
      </c>
      <c r="AY70" s="303"/>
      <c r="AZ70" s="303">
        <v>228.96001065003122</v>
      </c>
      <c r="BA70" s="304"/>
      <c r="BB70" s="304">
        <v>383.63517133000346</v>
      </c>
      <c r="BC70" s="303"/>
      <c r="BD70" s="303">
        <v>214.71080418002364</v>
      </c>
      <c r="BE70" s="304"/>
      <c r="BF70" s="304">
        <v>456.18926216000312</v>
      </c>
      <c r="BG70" s="303"/>
      <c r="BH70" s="303">
        <v>219.48264894997234</v>
      </c>
      <c r="BI70" s="304"/>
      <c r="BJ70" s="304">
        <v>273.37845593000458</v>
      </c>
      <c r="BK70" s="303"/>
      <c r="BL70" s="303">
        <v>158.72236904001889</v>
      </c>
      <c r="BM70" s="304"/>
      <c r="BN70" s="304">
        <v>342.56233419999762</v>
      </c>
      <c r="BO70" s="303"/>
      <c r="BP70" s="303">
        <v>276.03698290002347</v>
      </c>
      <c r="BQ70" s="304"/>
      <c r="BR70" s="304">
        <v>461.01486233001111</v>
      </c>
      <c r="BS70" s="303"/>
      <c r="BT70" s="303">
        <v>233.37437905000203</v>
      </c>
      <c r="BU70" s="304"/>
      <c r="BV70" s="304">
        <v>522.64417287992342</v>
      </c>
      <c r="BW70" s="303"/>
      <c r="BX70" s="303">
        <v>1301.3882131299999</v>
      </c>
      <c r="BY70" s="304"/>
      <c r="BZ70" s="304">
        <v>1916.5834276500218</v>
      </c>
      <c r="CA70" s="303"/>
      <c r="CB70" s="303">
        <v>2022.0506914799946</v>
      </c>
      <c r="CC70" s="304"/>
      <c r="CD70" s="304">
        <v>2027.6448692199883</v>
      </c>
      <c r="CE70" s="303"/>
      <c r="CF70" s="303">
        <v>1992.7379797399944</v>
      </c>
      <c r="CG70" s="304"/>
      <c r="CH70" s="304">
        <v>1991.7414075000163</v>
      </c>
      <c r="CI70" s="303"/>
      <c r="CJ70" s="303">
        <v>2198.2631571300221</v>
      </c>
      <c r="CK70" s="304"/>
      <c r="CL70" s="304">
        <v>0</v>
      </c>
      <c r="CM70" s="303"/>
      <c r="CN70" s="303">
        <v>0</v>
      </c>
      <c r="CO70" s="304"/>
      <c r="CP70" s="304">
        <v>0</v>
      </c>
      <c r="CQ70" s="303"/>
      <c r="CR70" s="303">
        <v>0</v>
      </c>
      <c r="CS70" s="304"/>
      <c r="CT70" s="304">
        <v>0</v>
      </c>
      <c r="CU70" s="303"/>
      <c r="CV70" s="303">
        <v>0</v>
      </c>
      <c r="CW70" s="304"/>
      <c r="CX70" s="304">
        <v>0</v>
      </c>
      <c r="CY70" s="303"/>
      <c r="CZ70" s="303">
        <v>0</v>
      </c>
      <c r="DA70" s="304"/>
      <c r="DB70" s="304">
        <v>0</v>
      </c>
    </row>
    <row r="71" spans="2:106" s="274" customFormat="1" ht="14.25" customHeight="1" x14ac:dyDescent="0.2">
      <c r="B71" s="406" t="s">
        <v>642</v>
      </c>
      <c r="C71" s="287"/>
      <c r="D71" s="287"/>
      <c r="E71" s="406"/>
      <c r="F71" s="406"/>
      <c r="G71" s="303"/>
      <c r="H71" s="303">
        <v>227.69560243408347</v>
      </c>
      <c r="I71" s="304"/>
      <c r="J71" s="304">
        <v>285.28257993315646</v>
      </c>
      <c r="K71" s="303"/>
      <c r="L71" s="303">
        <v>173.76697542000491</v>
      </c>
      <c r="M71" s="304"/>
      <c r="N71" s="304">
        <v>339.36040334999211</v>
      </c>
      <c r="O71" s="303"/>
      <c r="P71" s="303">
        <v>227.1464894099671</v>
      </c>
      <c r="Q71" s="304"/>
      <c r="R71" s="304">
        <v>436.71053579359113</v>
      </c>
      <c r="S71" s="303"/>
      <c r="T71" s="303">
        <v>243.75862722347628</v>
      </c>
      <c r="U71" s="304"/>
      <c r="V71" s="304">
        <v>423.71690222887059</v>
      </c>
      <c r="W71" s="303"/>
      <c r="X71" s="303">
        <v>231.29992304007195</v>
      </c>
      <c r="Y71" s="304"/>
      <c r="Z71" s="304">
        <v>478.17825222997271</v>
      </c>
      <c r="AA71" s="303"/>
      <c r="AB71" s="303">
        <v>250.24696829006257</v>
      </c>
      <c r="AC71" s="304"/>
      <c r="AD71" s="304">
        <v>444.53705846003442</v>
      </c>
      <c r="AE71" s="303"/>
      <c r="AF71" s="303">
        <v>275.62167191992523</v>
      </c>
      <c r="AG71" s="304"/>
      <c r="AH71" s="304">
        <v>533.1349472899866</v>
      </c>
      <c r="AI71" s="305"/>
      <c r="AJ71" s="305">
        <v>295.77042510844535</v>
      </c>
      <c r="AK71" s="304"/>
      <c r="AL71" s="304">
        <v>482.71633421998564</v>
      </c>
      <c r="AM71" s="303"/>
      <c r="AN71" s="303">
        <v>213.9890096899835</v>
      </c>
      <c r="AO71" s="304"/>
      <c r="AP71" s="304">
        <v>594.47370928999283</v>
      </c>
      <c r="AQ71" s="303"/>
      <c r="AR71" s="303">
        <v>251.16804906999633</v>
      </c>
      <c r="AS71" s="304"/>
      <c r="AT71" s="304">
        <v>514.66089356002794</v>
      </c>
      <c r="AU71" s="303"/>
      <c r="AV71" s="303">
        <v>218.07060570999593</v>
      </c>
      <c r="AW71" s="304"/>
      <c r="AX71" s="304">
        <v>432.08386743002325</v>
      </c>
      <c r="AY71" s="303"/>
      <c r="AZ71" s="303">
        <v>228.96001065003122</v>
      </c>
      <c r="BA71" s="304"/>
      <c r="BB71" s="304">
        <v>383.63517133000346</v>
      </c>
      <c r="BC71" s="303"/>
      <c r="BD71" s="303">
        <v>214.71080418002364</v>
      </c>
      <c r="BE71" s="304"/>
      <c r="BF71" s="304">
        <v>456.18926216000312</v>
      </c>
      <c r="BG71" s="303"/>
      <c r="BH71" s="303">
        <v>219.48264894997234</v>
      </c>
      <c r="BI71" s="304"/>
      <c r="BJ71" s="304">
        <v>273.37845593000458</v>
      </c>
      <c r="BK71" s="303"/>
      <c r="BL71" s="303">
        <v>158.72236904001889</v>
      </c>
      <c r="BM71" s="304"/>
      <c r="BN71" s="304">
        <v>342.56233419999762</v>
      </c>
      <c r="BO71" s="303"/>
      <c r="BP71" s="303">
        <v>276.03698290002347</v>
      </c>
      <c r="BQ71" s="304"/>
      <c r="BR71" s="304">
        <v>461.01486233001111</v>
      </c>
      <c r="BS71" s="303"/>
      <c r="BT71" s="303">
        <v>233.37437905000203</v>
      </c>
      <c r="BU71" s="304"/>
      <c r="BV71" s="304">
        <v>522.64417287992342</v>
      </c>
      <c r="BW71" s="303"/>
      <c r="BX71" s="303">
        <v>1301.3882131299999</v>
      </c>
      <c r="BY71" s="304"/>
      <c r="BZ71" s="304">
        <v>1916.5834276500218</v>
      </c>
      <c r="CA71" s="303"/>
      <c r="CB71" s="303">
        <v>2022.0506914799946</v>
      </c>
      <c r="CC71" s="304"/>
      <c r="CD71" s="304">
        <v>2027.6448692199883</v>
      </c>
      <c r="CE71" s="303"/>
      <c r="CF71" s="303">
        <v>1992.7379797399944</v>
      </c>
      <c r="CG71" s="304"/>
      <c r="CH71" s="304">
        <v>1991.7414075000163</v>
      </c>
      <c r="CI71" s="303"/>
      <c r="CJ71" s="303">
        <v>2198.2631571300221</v>
      </c>
      <c r="CK71" s="304"/>
      <c r="CL71" s="304">
        <v>0</v>
      </c>
      <c r="CM71" s="303"/>
      <c r="CN71" s="303">
        <v>0</v>
      </c>
      <c r="CO71" s="304"/>
      <c r="CP71" s="304">
        <v>0</v>
      </c>
      <c r="CQ71" s="303"/>
      <c r="CR71" s="303">
        <v>0</v>
      </c>
      <c r="CS71" s="304"/>
      <c r="CT71" s="304">
        <v>0</v>
      </c>
      <c r="CU71" s="303"/>
      <c r="CV71" s="303">
        <v>0</v>
      </c>
      <c r="CW71" s="304"/>
      <c r="CX71" s="304">
        <v>0</v>
      </c>
      <c r="CY71" s="303"/>
      <c r="CZ71" s="303">
        <v>0</v>
      </c>
      <c r="DA71" s="304"/>
      <c r="DB71" s="304">
        <v>0</v>
      </c>
    </row>
    <row r="72" spans="2:106" s="274" customFormat="1" ht="14.25" customHeight="1" x14ac:dyDescent="0.2">
      <c r="B72" s="406" t="s">
        <v>713</v>
      </c>
      <c r="C72" s="287"/>
      <c r="D72" s="287"/>
      <c r="E72" s="406"/>
      <c r="F72" s="406"/>
      <c r="G72" s="303">
        <v>635.42815799999994</v>
      </c>
      <c r="H72" s="303"/>
      <c r="I72" s="304">
        <v>677.64410759217776</v>
      </c>
      <c r="J72" s="304"/>
      <c r="K72" s="303">
        <v>869.67671019000011</v>
      </c>
      <c r="L72" s="303"/>
      <c r="M72" s="304">
        <v>962.51318093840609</v>
      </c>
      <c r="N72" s="304"/>
      <c r="O72" s="303">
        <v>851.06085953362231</v>
      </c>
      <c r="P72" s="303"/>
      <c r="Q72" s="304">
        <v>991.919028513086</v>
      </c>
      <c r="R72" s="304"/>
      <c r="S72" s="303">
        <v>1100.8111361926258</v>
      </c>
      <c r="T72" s="303"/>
      <c r="U72" s="304">
        <v>1096.0912490650712</v>
      </c>
      <c r="V72" s="304"/>
      <c r="W72" s="303">
        <v>1057.6428396945485</v>
      </c>
      <c r="X72" s="303"/>
      <c r="Y72" s="304">
        <v>1236.4164670423838</v>
      </c>
      <c r="Z72" s="304"/>
      <c r="AA72" s="303">
        <v>1296.969423210563</v>
      </c>
      <c r="AB72" s="303"/>
      <c r="AC72" s="304">
        <v>1364.6745587199998</v>
      </c>
      <c r="AD72" s="304"/>
      <c r="AE72" s="303">
        <v>1690.4251943500003</v>
      </c>
      <c r="AF72" s="303"/>
      <c r="AG72" s="304">
        <v>1615.3655258499998</v>
      </c>
      <c r="AH72" s="304"/>
      <c r="AI72" s="305">
        <v>1217.51913883</v>
      </c>
      <c r="AJ72" s="305"/>
      <c r="AK72" s="304">
        <v>1414.3559719900004</v>
      </c>
      <c r="AL72" s="304"/>
      <c r="AM72" s="303">
        <v>1637.4540476340005</v>
      </c>
      <c r="AN72" s="303"/>
      <c r="AO72" s="304">
        <v>1584.2980877199998</v>
      </c>
      <c r="AP72" s="304"/>
      <c r="AQ72" s="303">
        <v>1603.30580362</v>
      </c>
      <c r="AR72" s="303"/>
      <c r="AS72" s="304">
        <v>1515.2046497800002</v>
      </c>
      <c r="AT72" s="304"/>
      <c r="AU72" s="303">
        <v>1548.34083394</v>
      </c>
      <c r="AV72" s="303"/>
      <c r="AW72" s="304">
        <v>1700.04557909</v>
      </c>
      <c r="AX72" s="304"/>
      <c r="AY72" s="303">
        <v>1762.87546363</v>
      </c>
      <c r="AZ72" s="303"/>
      <c r="BA72" s="304">
        <v>1638.3487926900002</v>
      </c>
      <c r="BB72" s="304"/>
      <c r="BC72" s="303">
        <v>1799.6097012300002</v>
      </c>
      <c r="BD72" s="303"/>
      <c r="BE72" s="304">
        <v>1896.4141372599993</v>
      </c>
      <c r="BF72" s="304"/>
      <c r="BG72" s="303">
        <v>2207.5202826373297</v>
      </c>
      <c r="BH72" s="303"/>
      <c r="BI72" s="304">
        <v>1954.331489651287</v>
      </c>
      <c r="BJ72" s="304"/>
      <c r="BK72" s="303">
        <v>1762.9264765067278</v>
      </c>
      <c r="BL72" s="303"/>
      <c r="BM72" s="304">
        <v>1920.1923357457126</v>
      </c>
      <c r="BN72" s="304"/>
      <c r="BO72" s="303">
        <v>1840.0575087607344</v>
      </c>
      <c r="BP72" s="303"/>
      <c r="BQ72" s="304">
        <v>1909.1647197824925</v>
      </c>
      <c r="BR72" s="304"/>
      <c r="BS72" s="303">
        <v>2110.9659340642856</v>
      </c>
      <c r="BT72" s="303"/>
      <c r="BU72" s="304">
        <v>1743.7201108832678</v>
      </c>
      <c r="BV72" s="304"/>
      <c r="BW72" s="303">
        <v>1955.6336028963919</v>
      </c>
      <c r="BX72" s="303"/>
      <c r="BY72" s="304">
        <v>1936.8650080243938</v>
      </c>
      <c r="BZ72" s="304"/>
      <c r="CA72" s="303">
        <v>2377.5426975369328</v>
      </c>
      <c r="CB72" s="303"/>
      <c r="CC72" s="304">
        <v>2249.9562367977123</v>
      </c>
      <c r="CD72" s="304"/>
      <c r="CE72" s="303">
        <v>2636.2468357543385</v>
      </c>
      <c r="CF72" s="303"/>
      <c r="CG72" s="304">
        <v>2792.6758225068406</v>
      </c>
      <c r="CH72" s="304"/>
      <c r="CI72" s="303">
        <v>3106.7127933191305</v>
      </c>
      <c r="CJ72" s="303"/>
      <c r="CK72" s="304">
        <v>2971.1768669085782</v>
      </c>
      <c r="CL72" s="304"/>
      <c r="CM72" s="303">
        <v>2870.2961009722717</v>
      </c>
      <c r="CN72" s="303"/>
      <c r="CO72" s="304">
        <v>3024.5651877641449</v>
      </c>
      <c r="CP72" s="304"/>
      <c r="CQ72" s="303">
        <v>3138.4683684507281</v>
      </c>
      <c r="CR72" s="303"/>
      <c r="CS72" s="304">
        <v>2929.5756261866627</v>
      </c>
      <c r="CT72" s="304"/>
      <c r="CU72" s="303">
        <v>3272.0316949482581</v>
      </c>
      <c r="CV72" s="303"/>
      <c r="CW72" s="304">
        <v>3522.0621564927915</v>
      </c>
      <c r="CX72" s="304"/>
      <c r="CY72" s="303">
        <v>3749.58635910255</v>
      </c>
      <c r="CZ72" s="303"/>
      <c r="DA72" s="304">
        <v>3907.7198813734349</v>
      </c>
      <c r="DB72" s="304"/>
    </row>
    <row r="73" spans="2:106" s="274" customFormat="1" ht="14.25" customHeight="1" x14ac:dyDescent="0.2">
      <c r="B73" s="406" t="s">
        <v>741</v>
      </c>
      <c r="C73" s="287"/>
      <c r="D73" s="287"/>
      <c r="E73" s="406"/>
      <c r="F73" s="406"/>
      <c r="G73" s="303">
        <v>635.42815799999994</v>
      </c>
      <c r="H73" s="303"/>
      <c r="I73" s="304">
        <v>677.64410759217776</v>
      </c>
      <c r="J73" s="304"/>
      <c r="K73" s="303">
        <v>869.67671019000011</v>
      </c>
      <c r="L73" s="303"/>
      <c r="M73" s="304">
        <v>962.51318093840609</v>
      </c>
      <c r="N73" s="304"/>
      <c r="O73" s="303">
        <v>851.06085953362231</v>
      </c>
      <c r="P73" s="303"/>
      <c r="Q73" s="304">
        <v>991.919028513086</v>
      </c>
      <c r="R73" s="304"/>
      <c r="S73" s="303">
        <v>1100.8111361926258</v>
      </c>
      <c r="T73" s="303"/>
      <c r="U73" s="304">
        <v>1096.0912490650712</v>
      </c>
      <c r="V73" s="304"/>
      <c r="W73" s="303">
        <v>1057.6428396945485</v>
      </c>
      <c r="X73" s="303"/>
      <c r="Y73" s="304">
        <v>1236.4164670423838</v>
      </c>
      <c r="Z73" s="304"/>
      <c r="AA73" s="303">
        <v>1296.969423210563</v>
      </c>
      <c r="AB73" s="303"/>
      <c r="AC73" s="304">
        <v>1364.6745587199998</v>
      </c>
      <c r="AD73" s="304"/>
      <c r="AE73" s="303">
        <v>1690.4251943500003</v>
      </c>
      <c r="AF73" s="303"/>
      <c r="AG73" s="304">
        <v>1615.3655258499998</v>
      </c>
      <c r="AH73" s="304"/>
      <c r="AI73" s="305">
        <v>1217.51913883</v>
      </c>
      <c r="AJ73" s="305"/>
      <c r="AK73" s="304">
        <v>1414.3559719900004</v>
      </c>
      <c r="AL73" s="304"/>
      <c r="AM73" s="303">
        <v>1637.4540476340005</v>
      </c>
      <c r="AN73" s="303"/>
      <c r="AO73" s="304">
        <v>1584.2980877199998</v>
      </c>
      <c r="AP73" s="304"/>
      <c r="AQ73" s="303">
        <v>1603.30580362</v>
      </c>
      <c r="AR73" s="303"/>
      <c r="AS73" s="304">
        <v>1515.2046497800002</v>
      </c>
      <c r="AT73" s="304"/>
      <c r="AU73" s="303">
        <v>1548.34083394</v>
      </c>
      <c r="AV73" s="303"/>
      <c r="AW73" s="304">
        <v>1700.04557909</v>
      </c>
      <c r="AX73" s="304"/>
      <c r="AY73" s="303">
        <v>1762.87546363</v>
      </c>
      <c r="AZ73" s="303"/>
      <c r="BA73" s="304">
        <v>1638.3487926900002</v>
      </c>
      <c r="BB73" s="304"/>
      <c r="BC73" s="303">
        <v>1799.6097012300002</v>
      </c>
      <c r="BD73" s="303"/>
      <c r="BE73" s="304">
        <v>1896.4141372599993</v>
      </c>
      <c r="BF73" s="304"/>
      <c r="BG73" s="303">
        <v>2207.5202826373297</v>
      </c>
      <c r="BH73" s="303"/>
      <c r="BI73" s="304">
        <v>1954.331489651287</v>
      </c>
      <c r="BJ73" s="304"/>
      <c r="BK73" s="303">
        <v>1762.9264765067278</v>
      </c>
      <c r="BL73" s="303"/>
      <c r="BM73" s="304">
        <v>1920.1923357457126</v>
      </c>
      <c r="BN73" s="304"/>
      <c r="BO73" s="303">
        <v>1840.0575087607344</v>
      </c>
      <c r="BP73" s="303"/>
      <c r="BQ73" s="304">
        <v>1909.1647197824925</v>
      </c>
      <c r="BR73" s="304"/>
      <c r="BS73" s="303">
        <v>2110.9659340642856</v>
      </c>
      <c r="BT73" s="303"/>
      <c r="BU73" s="304">
        <v>1743.7201108832678</v>
      </c>
      <c r="BV73" s="304"/>
      <c r="BW73" s="303">
        <v>1955.6336028963919</v>
      </c>
      <c r="BX73" s="303"/>
      <c r="BY73" s="304">
        <v>1936.8650080243938</v>
      </c>
      <c r="BZ73" s="304"/>
      <c r="CA73" s="303">
        <v>2377.5426975369328</v>
      </c>
      <c r="CB73" s="303"/>
      <c r="CC73" s="304">
        <v>2249.9562367977123</v>
      </c>
      <c r="CD73" s="304"/>
      <c r="CE73" s="303">
        <v>2636.2468357543385</v>
      </c>
      <c r="CF73" s="303"/>
      <c r="CG73" s="304">
        <v>2792.6758225068406</v>
      </c>
      <c r="CH73" s="304"/>
      <c r="CI73" s="303">
        <v>3106.7127933191305</v>
      </c>
      <c r="CJ73" s="303"/>
      <c r="CK73" s="304">
        <v>2971.1768669085782</v>
      </c>
      <c r="CL73" s="304"/>
      <c r="CM73" s="303">
        <v>2870.2961009722717</v>
      </c>
      <c r="CN73" s="303"/>
      <c r="CO73" s="304">
        <v>3024.5651877641449</v>
      </c>
      <c r="CP73" s="304"/>
      <c r="CQ73" s="303">
        <v>3138.4683684507281</v>
      </c>
      <c r="CR73" s="303"/>
      <c r="CS73" s="304">
        <v>2929.5756261866627</v>
      </c>
      <c r="CT73" s="304"/>
      <c r="CU73" s="303">
        <v>3272.0316949482581</v>
      </c>
      <c r="CV73" s="303"/>
      <c r="CW73" s="304">
        <v>3522.0621564927915</v>
      </c>
      <c r="CX73" s="304"/>
      <c r="CY73" s="303">
        <v>3749.58635910255</v>
      </c>
      <c r="CZ73" s="303"/>
      <c r="DA73" s="304">
        <v>3907.7198813734349</v>
      </c>
      <c r="DB73" s="304"/>
    </row>
    <row r="74" spans="2:106" s="274" customFormat="1" ht="14.25" customHeight="1" x14ac:dyDescent="0.2">
      <c r="B74" s="287"/>
      <c r="C74" s="287"/>
      <c r="D74" s="287"/>
      <c r="E74" s="287"/>
      <c r="F74" s="287"/>
      <c r="G74" s="417"/>
      <c r="H74" s="417"/>
      <c r="I74" s="418"/>
      <c r="J74" s="418"/>
      <c r="K74" s="417"/>
      <c r="L74" s="417"/>
      <c r="M74" s="418"/>
      <c r="N74" s="418"/>
      <c r="O74" s="417"/>
      <c r="P74" s="417"/>
      <c r="Q74" s="418"/>
      <c r="R74" s="418"/>
      <c r="S74" s="417"/>
      <c r="T74" s="417"/>
      <c r="U74" s="418"/>
      <c r="V74" s="418"/>
      <c r="W74" s="417"/>
      <c r="X74" s="417"/>
      <c r="Y74" s="418"/>
      <c r="Z74" s="418"/>
      <c r="AA74" s="417"/>
      <c r="AB74" s="417"/>
      <c r="AC74" s="418"/>
      <c r="AD74" s="418"/>
      <c r="AE74" s="417"/>
      <c r="AF74" s="417"/>
      <c r="AG74" s="418"/>
      <c r="AH74" s="418"/>
      <c r="AI74" s="419"/>
      <c r="AJ74" s="419"/>
      <c r="AK74" s="418"/>
      <c r="AL74" s="418"/>
      <c r="AM74" s="417"/>
      <c r="AN74" s="417"/>
      <c r="AO74" s="418"/>
      <c r="AP74" s="418"/>
      <c r="AQ74" s="417"/>
      <c r="AR74" s="417"/>
      <c r="AS74" s="418"/>
      <c r="AT74" s="418"/>
      <c r="AU74" s="417"/>
      <c r="AV74" s="417"/>
      <c r="AW74" s="418"/>
      <c r="AX74" s="418"/>
      <c r="AY74" s="417"/>
      <c r="AZ74" s="417"/>
      <c r="BA74" s="418"/>
      <c r="BB74" s="418"/>
      <c r="BC74" s="417"/>
      <c r="BD74" s="417"/>
      <c r="BE74" s="418"/>
      <c r="BF74" s="418"/>
      <c r="BG74" s="417"/>
      <c r="BH74" s="417"/>
      <c r="BI74" s="418"/>
      <c r="BJ74" s="418"/>
      <c r="BK74" s="417"/>
      <c r="BL74" s="417"/>
      <c r="BM74" s="418"/>
      <c r="BN74" s="418"/>
      <c r="BO74" s="417"/>
      <c r="BP74" s="417"/>
      <c r="BQ74" s="418"/>
      <c r="BR74" s="418"/>
      <c r="BS74" s="417"/>
      <c r="BT74" s="417"/>
      <c r="BU74" s="418"/>
      <c r="BV74" s="418"/>
      <c r="BW74" s="417"/>
      <c r="BX74" s="417"/>
      <c r="BY74" s="418"/>
      <c r="BZ74" s="418"/>
      <c r="CA74" s="417"/>
      <c r="CB74" s="417"/>
      <c r="CC74" s="418"/>
      <c r="CD74" s="418"/>
      <c r="CE74" s="417"/>
      <c r="CF74" s="417"/>
      <c r="CG74" s="418"/>
      <c r="CH74" s="418"/>
      <c r="CI74" s="417"/>
      <c r="CJ74" s="417"/>
      <c r="CK74" s="418"/>
      <c r="CL74" s="418"/>
      <c r="CM74" s="417"/>
      <c r="CN74" s="417"/>
      <c r="CO74" s="418"/>
      <c r="CP74" s="418"/>
      <c r="CQ74" s="417"/>
      <c r="CR74" s="417"/>
      <c r="CS74" s="418"/>
      <c r="CT74" s="418"/>
      <c r="CU74" s="417"/>
      <c r="CV74" s="417"/>
      <c r="CW74" s="418"/>
      <c r="CX74" s="418"/>
      <c r="CY74" s="417"/>
      <c r="CZ74" s="417"/>
      <c r="DA74" s="418"/>
      <c r="DB74" s="418"/>
    </row>
    <row r="75" spans="2:106" s="274" customFormat="1" ht="14.25" customHeight="1" x14ac:dyDescent="0.2">
      <c r="B75" s="405" t="s">
        <v>633</v>
      </c>
      <c r="C75" s="287"/>
      <c r="D75" s="287"/>
      <c r="E75" s="405"/>
      <c r="F75" s="405"/>
      <c r="G75" s="420"/>
      <c r="H75" s="417">
        <v>607.79069980552003</v>
      </c>
      <c r="I75" s="299"/>
      <c r="J75" s="418">
        <v>608.9947441292361</v>
      </c>
      <c r="K75" s="420"/>
      <c r="L75" s="417">
        <v>610.47580174536279</v>
      </c>
      <c r="M75" s="299"/>
      <c r="N75" s="418">
        <v>611.34025527811582</v>
      </c>
      <c r="O75" s="420"/>
      <c r="P75" s="417">
        <v>586.30444859861927</v>
      </c>
      <c r="Q75" s="299"/>
      <c r="R75" s="418">
        <v>572.94512533505895</v>
      </c>
      <c r="S75" s="420"/>
      <c r="T75" s="417">
        <v>545.53571758472538</v>
      </c>
      <c r="U75" s="299"/>
      <c r="V75" s="418">
        <v>556.17322240246824</v>
      </c>
      <c r="W75" s="420"/>
      <c r="X75" s="417">
        <v>555.12299235330136</v>
      </c>
      <c r="Y75" s="299"/>
      <c r="Z75" s="418">
        <v>547.99983329424845</v>
      </c>
      <c r="AA75" s="420"/>
      <c r="AB75" s="417">
        <v>557.13170328126478</v>
      </c>
      <c r="AC75" s="299"/>
      <c r="AD75" s="418">
        <v>553.18688864366254</v>
      </c>
      <c r="AE75" s="420"/>
      <c r="AF75" s="417">
        <v>551.98922096269905</v>
      </c>
      <c r="AG75" s="299"/>
      <c r="AH75" s="418">
        <v>531.62998494316423</v>
      </c>
      <c r="AI75" s="421"/>
      <c r="AJ75" s="419">
        <v>536.57971792799833</v>
      </c>
      <c r="AK75" s="299"/>
      <c r="AL75" s="418">
        <v>550.23865754642702</v>
      </c>
      <c r="AM75" s="420"/>
      <c r="AN75" s="417">
        <v>558.90177195199431</v>
      </c>
      <c r="AO75" s="299"/>
      <c r="AP75" s="418">
        <v>563.18905525581135</v>
      </c>
      <c r="AQ75" s="420"/>
      <c r="AR75" s="417">
        <v>574.867258182</v>
      </c>
      <c r="AS75" s="299"/>
      <c r="AT75" s="418">
        <v>556.24394168974618</v>
      </c>
      <c r="AU75" s="298"/>
      <c r="AV75" s="417">
        <v>551.76646446330403</v>
      </c>
      <c r="AW75" s="299"/>
      <c r="AX75" s="418">
        <v>550.00209990274004</v>
      </c>
      <c r="AY75" s="298"/>
      <c r="AZ75" s="417">
        <v>548.99763097949995</v>
      </c>
      <c r="BA75" s="299"/>
      <c r="BB75" s="418">
        <v>549.77273298326008</v>
      </c>
      <c r="BC75" s="298"/>
      <c r="BD75" s="417">
        <v>539.13485344185995</v>
      </c>
      <c r="BE75" s="299"/>
      <c r="BF75" s="418">
        <v>546.8541403855744</v>
      </c>
      <c r="BG75" s="298"/>
      <c r="BH75" s="417">
        <v>539.72408914879998</v>
      </c>
      <c r="BI75" s="299"/>
      <c r="BJ75" s="418">
        <v>544.03460539419996</v>
      </c>
      <c r="BK75" s="298"/>
      <c r="BL75" s="417">
        <v>556.63792215941999</v>
      </c>
      <c r="BM75" s="299"/>
      <c r="BN75" s="418">
        <v>569.56947089561982</v>
      </c>
      <c r="BO75" s="298"/>
      <c r="BP75" s="417">
        <v>560.45015854525991</v>
      </c>
      <c r="BQ75" s="299"/>
      <c r="BR75" s="418">
        <v>564.09234704252003</v>
      </c>
      <c r="BS75" s="298"/>
      <c r="BT75" s="417">
        <v>1338.7279629582501</v>
      </c>
      <c r="BU75" s="299"/>
      <c r="BV75" s="418">
        <v>1329.90997727025</v>
      </c>
      <c r="BW75" s="298"/>
      <c r="BX75" s="417">
        <v>1313.57579904</v>
      </c>
      <c r="BY75" s="299"/>
      <c r="BZ75" s="418">
        <v>1271.9333503098928</v>
      </c>
      <c r="CA75" s="298"/>
      <c r="CB75" s="417">
        <v>1216.159862323</v>
      </c>
      <c r="CC75" s="299"/>
      <c r="CD75" s="418">
        <v>1264.5827664890001</v>
      </c>
      <c r="CE75" s="298"/>
      <c r="CF75" s="417">
        <v>1278.2563455892498</v>
      </c>
      <c r="CG75" s="299"/>
      <c r="CH75" s="418">
        <v>1263.8511017282501</v>
      </c>
      <c r="CI75" s="298"/>
      <c r="CJ75" s="417">
        <v>1245.9632656344136</v>
      </c>
      <c r="CK75" s="299"/>
      <c r="CL75" s="418">
        <v>1284.821744365164</v>
      </c>
      <c r="CM75" s="298"/>
      <c r="CN75" s="417">
        <v>1257.5410685482821</v>
      </c>
      <c r="CO75" s="299"/>
      <c r="CP75" s="418">
        <v>1249.8544498765</v>
      </c>
      <c r="CQ75" s="298"/>
      <c r="CR75" s="417">
        <v>1288.84172927075</v>
      </c>
      <c r="CS75" s="299"/>
      <c r="CT75" s="418">
        <v>1239.20255121675</v>
      </c>
      <c r="CU75" s="298"/>
      <c r="CV75" s="417">
        <v>1259.6416538190001</v>
      </c>
      <c r="CW75" s="299"/>
      <c r="CX75" s="418">
        <v>1305.5940016500001</v>
      </c>
      <c r="CY75" s="298"/>
      <c r="CZ75" s="417">
        <v>1302.7148533057502</v>
      </c>
      <c r="DA75" s="299"/>
      <c r="DB75" s="418">
        <v>1301.3180387625</v>
      </c>
    </row>
    <row r="76" spans="2:106" s="274" customFormat="1" ht="14.25" customHeight="1" x14ac:dyDescent="0.2">
      <c r="B76" s="405"/>
      <c r="C76" s="287"/>
      <c r="D76" s="287"/>
      <c r="E76" s="405"/>
      <c r="F76" s="405"/>
      <c r="G76" s="420"/>
      <c r="H76" s="420"/>
      <c r="I76" s="418"/>
      <c r="J76" s="418"/>
      <c r="K76" s="420"/>
      <c r="L76" s="420"/>
      <c r="M76" s="418"/>
      <c r="N76" s="418"/>
      <c r="O76" s="420"/>
      <c r="P76" s="420"/>
      <c r="Q76" s="418"/>
      <c r="R76" s="418"/>
      <c r="S76" s="420"/>
      <c r="T76" s="420"/>
      <c r="U76" s="418"/>
      <c r="V76" s="418"/>
      <c r="W76" s="420"/>
      <c r="X76" s="420"/>
      <c r="Y76" s="418"/>
      <c r="Z76" s="418"/>
      <c r="AA76" s="420"/>
      <c r="AB76" s="420"/>
      <c r="AC76" s="418"/>
      <c r="AD76" s="418"/>
      <c r="AE76" s="420"/>
      <c r="AF76" s="420"/>
      <c r="AG76" s="418"/>
      <c r="AH76" s="418"/>
      <c r="AI76" s="421"/>
      <c r="AJ76" s="421"/>
      <c r="AK76" s="418"/>
      <c r="AL76" s="418"/>
      <c r="AM76" s="420"/>
      <c r="AN76" s="420"/>
      <c r="AO76" s="418"/>
      <c r="AP76" s="418"/>
      <c r="AQ76" s="420"/>
      <c r="AR76" s="420"/>
      <c r="AS76" s="418"/>
      <c r="AT76" s="418"/>
      <c r="AU76" s="417"/>
      <c r="AV76" s="417"/>
      <c r="AW76" s="418"/>
      <c r="AX76" s="418"/>
      <c r="AY76" s="417"/>
      <c r="AZ76" s="417"/>
      <c r="BA76" s="418"/>
      <c r="BB76" s="418"/>
      <c r="BC76" s="417"/>
      <c r="BD76" s="417"/>
      <c r="BE76" s="418"/>
      <c r="BF76" s="418"/>
      <c r="BG76" s="417"/>
      <c r="BH76" s="417"/>
      <c r="BI76" s="418"/>
      <c r="BJ76" s="418"/>
      <c r="BK76" s="417"/>
      <c r="BL76" s="417"/>
      <c r="BM76" s="418"/>
      <c r="BN76" s="418"/>
      <c r="BO76" s="417"/>
      <c r="BP76" s="417"/>
      <c r="BQ76" s="418"/>
      <c r="BR76" s="418"/>
      <c r="BS76" s="417"/>
      <c r="BT76" s="417"/>
      <c r="BU76" s="418"/>
      <c r="BV76" s="418"/>
      <c r="BW76" s="417"/>
      <c r="BX76" s="417"/>
      <c r="BY76" s="418"/>
      <c r="BZ76" s="418"/>
      <c r="CA76" s="417"/>
      <c r="CB76" s="417"/>
      <c r="CC76" s="418"/>
      <c r="CD76" s="418"/>
      <c r="CE76" s="417"/>
      <c r="CF76" s="417"/>
      <c r="CG76" s="418"/>
      <c r="CH76" s="418"/>
      <c r="CI76" s="417"/>
      <c r="CJ76" s="417"/>
      <c r="CK76" s="418"/>
      <c r="CL76" s="418"/>
      <c r="CM76" s="417"/>
      <c r="CN76" s="417"/>
      <c r="CO76" s="418"/>
      <c r="CP76" s="418"/>
      <c r="CQ76" s="417"/>
      <c r="CR76" s="417"/>
      <c r="CS76" s="418"/>
      <c r="CT76" s="418"/>
      <c r="CU76" s="417"/>
      <c r="CV76" s="417"/>
      <c r="CW76" s="418"/>
      <c r="CX76" s="418"/>
      <c r="CY76" s="417"/>
      <c r="CZ76" s="417"/>
      <c r="DA76" s="418"/>
      <c r="DB76" s="418"/>
    </row>
    <row r="77" spans="2:106" s="274" customFormat="1" ht="14.25" customHeight="1" x14ac:dyDescent="0.2">
      <c r="B77" s="405" t="s">
        <v>541</v>
      </c>
      <c r="C77" s="287"/>
      <c r="D77" s="287"/>
      <c r="E77" s="405"/>
      <c r="F77" s="405"/>
      <c r="G77" s="417">
        <v>7105.8857307152884</v>
      </c>
      <c r="H77" s="420"/>
      <c r="I77" s="418">
        <v>7495.2652263693089</v>
      </c>
      <c r="J77" s="418"/>
      <c r="K77" s="417">
        <v>8059.7296017340168</v>
      </c>
      <c r="L77" s="420"/>
      <c r="M77" s="418">
        <v>9164.0011963749221</v>
      </c>
      <c r="N77" s="418"/>
      <c r="O77" s="417">
        <v>8821.8043364212444</v>
      </c>
      <c r="P77" s="420"/>
      <c r="Q77" s="418">
        <v>8208.4116477567386</v>
      </c>
      <c r="R77" s="418"/>
      <c r="S77" s="417">
        <v>6819.545506591644</v>
      </c>
      <c r="T77" s="420"/>
      <c r="U77" s="418">
        <v>7525.4853808777625</v>
      </c>
      <c r="V77" s="418"/>
      <c r="W77" s="417">
        <v>6783.676837049009</v>
      </c>
      <c r="X77" s="420"/>
      <c r="Y77" s="418">
        <v>7303.6377539425184</v>
      </c>
      <c r="Z77" s="418"/>
      <c r="AA77" s="417">
        <v>6221.1863548835809</v>
      </c>
      <c r="AB77" s="420"/>
      <c r="AC77" s="418">
        <v>5292.2737943062921</v>
      </c>
      <c r="AD77" s="418"/>
      <c r="AE77" s="417">
        <v>6455.7184999114761</v>
      </c>
      <c r="AF77" s="420"/>
      <c r="AG77" s="418">
        <v>6019.0622831281016</v>
      </c>
      <c r="AH77" s="418"/>
      <c r="AI77" s="419">
        <v>5117.2591547666907</v>
      </c>
      <c r="AJ77" s="421"/>
      <c r="AK77" s="418">
        <v>6959.0058206598105</v>
      </c>
      <c r="AL77" s="418"/>
      <c r="AM77" s="417">
        <v>7279.8355908532876</v>
      </c>
      <c r="AN77" s="420"/>
      <c r="AO77" s="418">
        <v>7958.6526532331427</v>
      </c>
      <c r="AP77" s="418"/>
      <c r="AQ77" s="417">
        <v>7319.7497098434051</v>
      </c>
      <c r="AR77" s="420"/>
      <c r="AS77" s="418">
        <v>9267.0177902197338</v>
      </c>
      <c r="AT77" s="418"/>
      <c r="AU77" s="417">
        <v>7164.0793420035607</v>
      </c>
      <c r="AV77" s="417"/>
      <c r="AW77" s="418">
        <v>6919.2167759618542</v>
      </c>
      <c r="AX77" s="418"/>
      <c r="AY77" s="417">
        <v>7629.241940996535</v>
      </c>
      <c r="AZ77" s="417"/>
      <c r="BA77" s="418">
        <v>8864.9845231109884</v>
      </c>
      <c r="BB77" s="418"/>
      <c r="BC77" s="417">
        <v>7635.3319635756388</v>
      </c>
      <c r="BD77" s="417"/>
      <c r="BE77" s="418">
        <v>7642.3930007529298</v>
      </c>
      <c r="BF77" s="418"/>
      <c r="BG77" s="417">
        <v>7533.7365693888514</v>
      </c>
      <c r="BH77" s="417"/>
      <c r="BI77" s="418">
        <v>6694.6480134553021</v>
      </c>
      <c r="BJ77" s="418"/>
      <c r="BK77" s="417">
        <v>6666.3209381823235</v>
      </c>
      <c r="BL77" s="417"/>
      <c r="BM77" s="418">
        <v>5664.2655693507559</v>
      </c>
      <c r="BN77" s="418"/>
      <c r="BO77" s="417">
        <v>4055.1636773857626</v>
      </c>
      <c r="BP77" s="417"/>
      <c r="BQ77" s="418">
        <v>4060.0459080771461</v>
      </c>
      <c r="BR77" s="418"/>
      <c r="BS77" s="417">
        <v>2704.1872989839321</v>
      </c>
      <c r="BT77" s="417"/>
      <c r="BU77" s="418">
        <v>3139.2264604148536</v>
      </c>
      <c r="BV77" s="418"/>
      <c r="BW77" s="417">
        <v>1916.5374430365971</v>
      </c>
      <c r="BX77" s="417"/>
      <c r="BY77" s="418">
        <v>1854.1052886081088</v>
      </c>
      <c r="BZ77" s="418"/>
      <c r="CA77" s="417">
        <v>1778.518069680119</v>
      </c>
      <c r="CB77" s="417"/>
      <c r="CC77" s="418">
        <v>1897.6093599466262</v>
      </c>
      <c r="CD77" s="418"/>
      <c r="CE77" s="417">
        <v>2694.2672816620388</v>
      </c>
      <c r="CF77" s="417"/>
      <c r="CG77" s="418">
        <v>3724.1982324163919</v>
      </c>
      <c r="CH77" s="418"/>
      <c r="CI77" s="417">
        <v>3539.9499851667993</v>
      </c>
      <c r="CJ77" s="417"/>
      <c r="CK77" s="418">
        <v>4392.1424579263667</v>
      </c>
      <c r="CL77" s="418"/>
      <c r="CM77" s="417">
        <v>4959.8460076628326</v>
      </c>
      <c r="CN77" s="417"/>
      <c r="CO77" s="418">
        <v>5654.4870927379097</v>
      </c>
      <c r="CP77" s="418"/>
      <c r="CQ77" s="417">
        <v>5993.8917233737347</v>
      </c>
      <c r="CR77" s="417"/>
      <c r="CS77" s="418">
        <v>6121.9790212458047</v>
      </c>
      <c r="CT77" s="418"/>
      <c r="CU77" s="417">
        <v>6530.559047552294</v>
      </c>
      <c r="CV77" s="417"/>
      <c r="CW77" s="418">
        <v>6081.3700816872888</v>
      </c>
      <c r="CX77" s="418"/>
      <c r="CY77" s="417">
        <v>6243.6170175734387</v>
      </c>
      <c r="CZ77" s="417"/>
      <c r="DA77" s="418">
        <v>6838.0752228980746</v>
      </c>
      <c r="DB77" s="418"/>
    </row>
    <row r="78" spans="2:106" ht="14.25" customHeight="1" x14ac:dyDescent="0.25">
      <c r="B78" s="406" t="s">
        <v>742</v>
      </c>
      <c r="C78" s="393"/>
      <c r="D78" s="393"/>
      <c r="E78" s="406"/>
      <c r="F78" s="406"/>
      <c r="G78" s="303">
        <v>727.30431585048234</v>
      </c>
      <c r="H78" s="414"/>
      <c r="I78" s="304">
        <v>883.91038591848758</v>
      </c>
      <c r="J78" s="408"/>
      <c r="K78" s="303">
        <v>897.98272161997147</v>
      </c>
      <c r="L78" s="414"/>
      <c r="M78" s="304">
        <v>940.27626073998988</v>
      </c>
      <c r="N78" s="408"/>
      <c r="O78" s="303">
        <v>903.67343983993328</v>
      </c>
      <c r="P78" s="414"/>
      <c r="Q78" s="304">
        <v>892.70711574942425</v>
      </c>
      <c r="R78" s="408"/>
      <c r="S78" s="303">
        <v>848.80342283671939</v>
      </c>
      <c r="T78" s="414"/>
      <c r="U78" s="304">
        <v>839.05527599102481</v>
      </c>
      <c r="V78" s="408"/>
      <c r="W78" s="303">
        <v>798.31279817982272</v>
      </c>
      <c r="X78" s="414"/>
      <c r="Y78" s="304">
        <v>760.20417752986032</v>
      </c>
      <c r="Z78" s="408"/>
      <c r="AA78" s="303">
        <v>886.26430254996524</v>
      </c>
      <c r="AB78" s="414"/>
      <c r="AC78" s="304">
        <v>942.54868470912209</v>
      </c>
      <c r="AD78" s="408"/>
      <c r="AE78" s="303">
        <v>949.69516939755135</v>
      </c>
      <c r="AF78" s="414"/>
      <c r="AG78" s="304">
        <v>830.47734720293727</v>
      </c>
      <c r="AH78" s="408"/>
      <c r="AI78" s="305">
        <v>889.10571908730606</v>
      </c>
      <c r="AJ78" s="416"/>
      <c r="AK78" s="304">
        <v>890.03615774998377</v>
      </c>
      <c r="AL78" s="408"/>
      <c r="AM78" s="303">
        <v>922.02177626296316</v>
      </c>
      <c r="AN78" s="414"/>
      <c r="AO78" s="304">
        <v>928.0660489824329</v>
      </c>
      <c r="AP78" s="408"/>
      <c r="AQ78" s="303">
        <v>894.92365737998705</v>
      </c>
      <c r="AR78" s="414"/>
      <c r="AS78" s="304">
        <v>799.97875233996115</v>
      </c>
      <c r="AT78" s="408"/>
      <c r="AU78" s="303">
        <v>760.55795448193464</v>
      </c>
      <c r="AV78" s="407"/>
      <c r="AW78" s="304">
        <v>819.06167561240807</v>
      </c>
      <c r="AX78" s="408"/>
      <c r="AY78" s="303">
        <v>825.37794439902348</v>
      </c>
      <c r="AZ78" s="407"/>
      <c r="BA78" s="304">
        <v>900.21199847175535</v>
      </c>
      <c r="BB78" s="408"/>
      <c r="BC78" s="303">
        <v>926.69690221143401</v>
      </c>
      <c r="BD78" s="407"/>
      <c r="BE78" s="304">
        <v>954.87865312111171</v>
      </c>
      <c r="BF78" s="408"/>
      <c r="BG78" s="303">
        <v>339.70890581030153</v>
      </c>
      <c r="BH78" s="407"/>
      <c r="BI78" s="304">
        <v>383.60205663773456</v>
      </c>
      <c r="BJ78" s="408"/>
      <c r="BK78" s="303">
        <v>406.18689602980555</v>
      </c>
      <c r="BL78" s="407"/>
      <c r="BM78" s="304">
        <v>408.8878874695427</v>
      </c>
      <c r="BN78" s="408"/>
      <c r="BO78" s="303">
        <v>367.82484814685859</v>
      </c>
      <c r="BP78" s="407"/>
      <c r="BQ78" s="304">
        <v>381.26411137919666</v>
      </c>
      <c r="BR78" s="408"/>
      <c r="BS78" s="303">
        <v>378.4306550468358</v>
      </c>
      <c r="BT78" s="407"/>
      <c r="BU78" s="304">
        <v>175.37950518824672</v>
      </c>
      <c r="BV78" s="408"/>
      <c r="BW78" s="303">
        <v>29.322753461538465</v>
      </c>
      <c r="BX78" s="407"/>
      <c r="BY78" s="304">
        <v>27.373033401300777</v>
      </c>
      <c r="BZ78" s="408"/>
      <c r="CA78" s="303">
        <v>25.149131589969691</v>
      </c>
      <c r="CB78" s="407"/>
      <c r="CC78" s="304">
        <v>27.626916620307895</v>
      </c>
      <c r="CD78" s="408"/>
      <c r="CE78" s="303">
        <v>29.822642840796281</v>
      </c>
      <c r="CF78" s="407"/>
      <c r="CG78" s="304">
        <v>29.069930618787037</v>
      </c>
      <c r="CH78" s="408"/>
      <c r="CI78" s="303">
        <v>27.997592161204359</v>
      </c>
      <c r="CJ78" s="407"/>
      <c r="CK78" s="304">
        <v>31.244297940284014</v>
      </c>
      <c r="CL78" s="408"/>
      <c r="CM78" s="303">
        <v>33.771920419332126</v>
      </c>
      <c r="CN78" s="407"/>
      <c r="CO78" s="304">
        <v>35.238868519315091</v>
      </c>
      <c r="CP78" s="408"/>
      <c r="CQ78" s="303">
        <v>39.900564210230947</v>
      </c>
      <c r="CR78" s="407"/>
      <c r="CS78" s="304">
        <v>39.748931090735525</v>
      </c>
      <c r="CT78" s="408"/>
      <c r="CU78" s="303">
        <v>47.303168499651761</v>
      </c>
      <c r="CV78" s="407"/>
      <c r="CW78" s="304">
        <v>50.024535979576449</v>
      </c>
      <c r="CX78" s="408"/>
      <c r="CY78" s="303">
        <v>58.443127569935797</v>
      </c>
      <c r="CZ78" s="407"/>
      <c r="DA78" s="304">
        <v>86.149134039195545</v>
      </c>
      <c r="DB78" s="408"/>
    </row>
    <row r="79" spans="2:106" s="425" customFormat="1" ht="14.25" customHeight="1" x14ac:dyDescent="0.25">
      <c r="B79" s="406" t="s">
        <v>743</v>
      </c>
      <c r="C79" s="393"/>
      <c r="D79" s="393"/>
      <c r="E79" s="406"/>
      <c r="F79" s="406"/>
      <c r="G79" s="303">
        <v>3.8685050738906956</v>
      </c>
      <c r="H79" s="414"/>
      <c r="I79" s="304">
        <v>15.546978108565966</v>
      </c>
      <c r="J79" s="423"/>
      <c r="K79" s="303">
        <v>8.4785703709852474</v>
      </c>
      <c r="L79" s="414"/>
      <c r="M79" s="304">
        <v>8.8996722034033819</v>
      </c>
      <c r="N79" s="423"/>
      <c r="O79" s="303">
        <v>8.9473542202755407</v>
      </c>
      <c r="P79" s="414"/>
      <c r="Q79" s="304">
        <v>9.158906440846545</v>
      </c>
      <c r="R79" s="423"/>
      <c r="S79" s="303">
        <v>8.8452825333043545</v>
      </c>
      <c r="T79" s="414"/>
      <c r="U79" s="304">
        <v>11.815671204546994</v>
      </c>
      <c r="V79" s="423"/>
      <c r="W79" s="303">
        <v>9.102135122972653</v>
      </c>
      <c r="X79" s="414"/>
      <c r="Y79" s="304">
        <v>6.7374927073967381</v>
      </c>
      <c r="Z79" s="423"/>
      <c r="AA79" s="303">
        <v>6.9612336761689075</v>
      </c>
      <c r="AB79" s="414"/>
      <c r="AC79" s="304">
        <v>4.1138600779365966</v>
      </c>
      <c r="AD79" s="423"/>
      <c r="AE79" s="303">
        <v>4.086190508570394</v>
      </c>
      <c r="AF79" s="414"/>
      <c r="AG79" s="304">
        <v>2.0267083234671293</v>
      </c>
      <c r="AH79" s="423"/>
      <c r="AI79" s="305">
        <v>0.15509610274314897</v>
      </c>
      <c r="AJ79" s="416"/>
      <c r="AK79" s="304">
        <v>0.26437288257937874</v>
      </c>
      <c r="AL79" s="423"/>
      <c r="AM79" s="303">
        <v>2.3156411659615155</v>
      </c>
      <c r="AN79" s="414"/>
      <c r="AO79" s="304">
        <v>4.4612552258647122</v>
      </c>
      <c r="AP79" s="423"/>
      <c r="AQ79" s="303">
        <v>0.57475391917854179</v>
      </c>
      <c r="AR79" s="414"/>
      <c r="AS79" s="304">
        <v>6.2424330849466916</v>
      </c>
      <c r="AT79" s="423"/>
      <c r="AU79" s="303">
        <v>0.52683424957235425</v>
      </c>
      <c r="AV79" s="424"/>
      <c r="AW79" s="304">
        <v>1.244212349182046</v>
      </c>
      <c r="AX79" s="423"/>
      <c r="AY79" s="303">
        <v>0.42278229419610514</v>
      </c>
      <c r="AZ79" s="424"/>
      <c r="BA79" s="304">
        <v>7.3530923124014382</v>
      </c>
      <c r="BB79" s="423"/>
      <c r="BC79" s="303">
        <v>7.2916543227243897</v>
      </c>
      <c r="BD79" s="424"/>
      <c r="BE79" s="304">
        <v>7.3240043404767334</v>
      </c>
      <c r="BF79" s="423"/>
      <c r="BG79" s="303">
        <v>0.50036887248433726</v>
      </c>
      <c r="BH79" s="424"/>
      <c r="BI79" s="304">
        <v>2.6457379394990546</v>
      </c>
      <c r="BJ79" s="423"/>
      <c r="BK79" s="303">
        <v>2.6534402492217675</v>
      </c>
      <c r="BL79" s="424"/>
      <c r="BM79" s="304">
        <v>2.6035060284068581</v>
      </c>
      <c r="BN79" s="423"/>
      <c r="BO79" s="303">
        <v>2.7284500040483897</v>
      </c>
      <c r="BP79" s="424"/>
      <c r="BQ79" s="304">
        <v>8.6432350910913058</v>
      </c>
      <c r="BR79" s="423"/>
      <c r="BS79" s="303">
        <v>127.93849662547859</v>
      </c>
      <c r="BT79" s="424"/>
      <c r="BU79" s="304">
        <v>123.55832378048095</v>
      </c>
      <c r="BV79" s="423"/>
      <c r="BW79" s="303">
        <v>118.47716629097258</v>
      </c>
      <c r="BX79" s="424"/>
      <c r="BY79" s="304">
        <v>16.463361118497371</v>
      </c>
      <c r="BZ79" s="423"/>
      <c r="CA79" s="303">
        <v>8.3350559324759317</v>
      </c>
      <c r="CB79" s="424"/>
      <c r="CC79" s="304">
        <v>1.8062851357314544</v>
      </c>
      <c r="CD79" s="423"/>
      <c r="CE79" s="303">
        <v>28.414852056179377</v>
      </c>
      <c r="CF79" s="424"/>
      <c r="CG79" s="304">
        <v>4.3815112754361554</v>
      </c>
      <c r="CH79" s="423"/>
      <c r="CI79" s="303">
        <v>4.5052753342935441</v>
      </c>
      <c r="CJ79" s="424"/>
      <c r="CK79" s="304">
        <v>33.670186729066188</v>
      </c>
      <c r="CL79" s="423"/>
      <c r="CM79" s="303">
        <v>0.62983469815972337</v>
      </c>
      <c r="CN79" s="424"/>
      <c r="CO79" s="304">
        <v>0.31816890967368899</v>
      </c>
      <c r="CP79" s="423"/>
      <c r="CQ79" s="303">
        <v>0.24489124890046432</v>
      </c>
      <c r="CR79" s="424"/>
      <c r="CS79" s="304">
        <v>3.1567314352614502</v>
      </c>
      <c r="CT79" s="423"/>
      <c r="CU79" s="303">
        <v>3.4706241932884425</v>
      </c>
      <c r="CV79" s="424"/>
      <c r="CW79" s="304">
        <v>2.3873579777668592</v>
      </c>
      <c r="CX79" s="423"/>
      <c r="CY79" s="303">
        <v>0.95015761510143104</v>
      </c>
      <c r="CZ79" s="424"/>
      <c r="DA79" s="304">
        <v>1.0508255687097081</v>
      </c>
      <c r="DB79" s="423"/>
    </row>
    <row r="80" spans="2:106" s="425" customFormat="1" ht="14.25" customHeight="1" x14ac:dyDescent="0.25">
      <c r="B80" s="406" t="s">
        <v>744</v>
      </c>
      <c r="C80" s="393"/>
      <c r="D80" s="393"/>
      <c r="E80" s="406"/>
      <c r="F80" s="406"/>
      <c r="G80" s="303">
        <v>73.549753843719998</v>
      </c>
      <c r="H80" s="414"/>
      <c r="I80" s="304">
        <v>73.697148139999996</v>
      </c>
      <c r="J80" s="423"/>
      <c r="K80" s="303">
        <v>73.966573428330008</v>
      </c>
      <c r="L80" s="414"/>
      <c r="M80" s="304">
        <v>73.979015803989995</v>
      </c>
      <c r="N80" s="423"/>
      <c r="O80" s="303">
        <v>70.950254436599991</v>
      </c>
      <c r="P80" s="414"/>
      <c r="Q80" s="304">
        <v>69.333224153709992</v>
      </c>
      <c r="R80" s="423"/>
      <c r="S80" s="303">
        <v>66.015895381590013</v>
      </c>
      <c r="T80" s="414"/>
      <c r="U80" s="304">
        <v>67.303202709490009</v>
      </c>
      <c r="V80" s="423"/>
      <c r="W80" s="303">
        <v>67.176386188340004</v>
      </c>
      <c r="X80" s="414"/>
      <c r="Y80" s="304">
        <v>66.314512397429993</v>
      </c>
      <c r="Z80" s="423"/>
      <c r="AA80" s="303">
        <v>67.419491066619997</v>
      </c>
      <c r="AB80" s="414"/>
      <c r="AC80" s="304">
        <v>66.9399810508</v>
      </c>
      <c r="AD80" s="423"/>
      <c r="AE80" s="303">
        <v>66.796893730709996</v>
      </c>
      <c r="AF80" s="414"/>
      <c r="AG80" s="304">
        <v>64.333303350030008</v>
      </c>
      <c r="AH80" s="423"/>
      <c r="AI80" s="305">
        <v>64.932451593349995</v>
      </c>
      <c r="AJ80" s="416"/>
      <c r="AK80" s="304">
        <v>66.585373344489994</v>
      </c>
      <c r="AL80" s="423"/>
      <c r="AM80" s="303">
        <v>67.633882770299991</v>
      </c>
      <c r="AN80" s="414"/>
      <c r="AO80" s="304">
        <v>68.152155571829994</v>
      </c>
      <c r="AP80" s="423"/>
      <c r="AQ80" s="303">
        <v>69.565800867969998</v>
      </c>
      <c r="AR80" s="414"/>
      <c r="AS80" s="304">
        <v>67.311816661869997</v>
      </c>
      <c r="AT80" s="423"/>
      <c r="AU80" s="303">
        <v>66.77009476775001</v>
      </c>
      <c r="AV80" s="424"/>
      <c r="AW80" s="304">
        <v>66.556660169889994</v>
      </c>
      <c r="AX80" s="423"/>
      <c r="AY80" s="303">
        <v>66.435107730750005</v>
      </c>
      <c r="AZ80" s="424"/>
      <c r="BA80" s="304">
        <v>66.528904101110001</v>
      </c>
      <c r="BB80" s="423"/>
      <c r="BC80" s="303">
        <v>65.241596773210006</v>
      </c>
      <c r="BD80" s="424"/>
      <c r="BE80" s="304">
        <v>66.175732053529998</v>
      </c>
      <c r="BF80" s="423"/>
      <c r="BG80" s="303">
        <v>65.312901156799995</v>
      </c>
      <c r="BH80" s="424"/>
      <c r="BI80" s="304">
        <v>65.8345238287</v>
      </c>
      <c r="BJ80" s="423"/>
      <c r="BK80" s="303">
        <v>67.359671952869988</v>
      </c>
      <c r="BL80" s="424"/>
      <c r="BM80" s="304">
        <v>68.924539968570002</v>
      </c>
      <c r="BN80" s="423"/>
      <c r="BO80" s="303">
        <v>67.820996958110001</v>
      </c>
      <c r="BP80" s="424"/>
      <c r="BQ80" s="304">
        <v>68.261744188220007</v>
      </c>
      <c r="BR80" s="423"/>
      <c r="BS80" s="303">
        <v>67.421883831170007</v>
      </c>
      <c r="BT80" s="424"/>
      <c r="BU80" s="304">
        <v>66.977786730689999</v>
      </c>
      <c r="BV80" s="423"/>
      <c r="BW80" s="303">
        <v>66.155154278400005</v>
      </c>
      <c r="BX80" s="424"/>
      <c r="BY80" s="304">
        <v>63.541298283979991</v>
      </c>
      <c r="BZ80" s="423"/>
      <c r="CA80" s="303">
        <v>61.249029845079995</v>
      </c>
      <c r="CB80" s="424"/>
      <c r="CC80" s="304">
        <v>3.7999354744400002</v>
      </c>
      <c r="CD80" s="423"/>
      <c r="CE80" s="303">
        <v>3.8410231119300002</v>
      </c>
      <c r="CF80" s="424"/>
      <c r="CG80" s="304">
        <v>3.7977369003699999</v>
      </c>
      <c r="CH80" s="423"/>
      <c r="CI80" s="303">
        <v>3.7546505591799995</v>
      </c>
      <c r="CJ80" s="424"/>
      <c r="CK80" s="304">
        <v>3.8308582759699994</v>
      </c>
      <c r="CL80" s="423"/>
      <c r="CM80" s="303">
        <v>3.78054804855</v>
      </c>
      <c r="CN80" s="424"/>
      <c r="CO80" s="304">
        <v>3.7556784639400003</v>
      </c>
      <c r="CP80" s="423"/>
      <c r="CQ80" s="303">
        <v>3.8728310536700001</v>
      </c>
      <c r="CR80" s="424"/>
      <c r="CS80" s="304">
        <v>3.7236706518299996</v>
      </c>
      <c r="CT80" s="423"/>
      <c r="CU80" s="303">
        <v>3.7938251517000001</v>
      </c>
      <c r="CV80" s="424"/>
      <c r="CW80" s="304">
        <v>3.9231698340000007</v>
      </c>
      <c r="CX80" s="423"/>
      <c r="CY80" s="303">
        <v>3.9145183022699999</v>
      </c>
      <c r="CZ80" s="424"/>
      <c r="DA80" s="304">
        <v>3.9103210244999995</v>
      </c>
      <c r="DB80" s="423"/>
    </row>
    <row r="81" spans="2:106" s="425" customFormat="1" ht="14.25" customHeight="1" x14ac:dyDescent="0.25">
      <c r="B81" s="406" t="s">
        <v>745</v>
      </c>
      <c r="C81" s="393"/>
      <c r="D81" s="393"/>
      <c r="E81" s="406"/>
      <c r="F81" s="406"/>
      <c r="G81" s="303">
        <v>6301.1631559471953</v>
      </c>
      <c r="H81" s="414"/>
      <c r="I81" s="304">
        <v>6522.1107142022556</v>
      </c>
      <c r="J81" s="423"/>
      <c r="K81" s="303">
        <v>7079.3017363147301</v>
      </c>
      <c r="L81" s="414"/>
      <c r="M81" s="304">
        <v>8140.8462476275381</v>
      </c>
      <c r="N81" s="423"/>
      <c r="O81" s="303">
        <v>7838.233287924435</v>
      </c>
      <c r="P81" s="414"/>
      <c r="Q81" s="304">
        <v>7237.2124014127585</v>
      </c>
      <c r="R81" s="423"/>
      <c r="S81" s="303">
        <v>5895.8809058400302</v>
      </c>
      <c r="T81" s="414"/>
      <c r="U81" s="304">
        <v>6607.3112309727003</v>
      </c>
      <c r="V81" s="423"/>
      <c r="W81" s="303">
        <v>5909.0855175578736</v>
      </c>
      <c r="X81" s="414"/>
      <c r="Y81" s="304">
        <v>6470.3815713078311</v>
      </c>
      <c r="Z81" s="423"/>
      <c r="AA81" s="303">
        <v>5260.5413275908268</v>
      </c>
      <c r="AB81" s="414"/>
      <c r="AC81" s="304">
        <v>4278.6712684684335</v>
      </c>
      <c r="AD81" s="423"/>
      <c r="AE81" s="303">
        <v>5435.1402462746446</v>
      </c>
      <c r="AF81" s="414"/>
      <c r="AG81" s="304">
        <v>5122.2249242516673</v>
      </c>
      <c r="AH81" s="423"/>
      <c r="AI81" s="305">
        <v>4163.0658879832918</v>
      </c>
      <c r="AJ81" s="416"/>
      <c r="AK81" s="304">
        <v>6002.1199166827573</v>
      </c>
      <c r="AL81" s="423"/>
      <c r="AM81" s="303">
        <v>6287.8642906540626</v>
      </c>
      <c r="AN81" s="414"/>
      <c r="AO81" s="304">
        <v>6957.9731934530155</v>
      </c>
      <c r="AP81" s="423"/>
      <c r="AQ81" s="303">
        <v>6354.6854976762697</v>
      </c>
      <c r="AR81" s="414"/>
      <c r="AS81" s="304">
        <v>8393.4847881329551</v>
      </c>
      <c r="AT81" s="423"/>
      <c r="AU81" s="303">
        <v>6336.2244585043036</v>
      </c>
      <c r="AV81" s="424"/>
      <c r="AW81" s="304">
        <v>6032.3542278303739</v>
      </c>
      <c r="AX81" s="423"/>
      <c r="AY81" s="303">
        <v>6737.0061065725658</v>
      </c>
      <c r="AZ81" s="424"/>
      <c r="BA81" s="304">
        <v>7890.890528225721</v>
      </c>
      <c r="BB81" s="423"/>
      <c r="BC81" s="303">
        <v>6636.1018102682701</v>
      </c>
      <c r="BD81" s="424"/>
      <c r="BE81" s="304">
        <v>6614.0146112378116</v>
      </c>
      <c r="BF81" s="423"/>
      <c r="BG81" s="303">
        <v>7128.2143935492659</v>
      </c>
      <c r="BH81" s="424"/>
      <c r="BI81" s="304">
        <v>6242.5656950493685</v>
      </c>
      <c r="BJ81" s="423"/>
      <c r="BK81" s="303">
        <v>6190.1209299504262</v>
      </c>
      <c r="BL81" s="424"/>
      <c r="BM81" s="304">
        <v>5183.8496358842367</v>
      </c>
      <c r="BN81" s="423"/>
      <c r="BO81" s="303">
        <v>3616.7893822767455</v>
      </c>
      <c r="BP81" s="424"/>
      <c r="BQ81" s="304">
        <v>3601.876817418638</v>
      </c>
      <c r="BR81" s="423"/>
      <c r="BS81" s="303">
        <v>2130.3962634804475</v>
      </c>
      <c r="BT81" s="424"/>
      <c r="BU81" s="304">
        <v>2773.3108447154359</v>
      </c>
      <c r="BV81" s="423"/>
      <c r="BW81" s="303">
        <v>1702.5823690056861</v>
      </c>
      <c r="BX81" s="424"/>
      <c r="BY81" s="304">
        <v>1746.7275958043306</v>
      </c>
      <c r="BZ81" s="423"/>
      <c r="CA81" s="303">
        <v>1683.7848523125933</v>
      </c>
      <c r="CB81" s="424"/>
      <c r="CC81" s="304">
        <v>1864.3762227161469</v>
      </c>
      <c r="CD81" s="423"/>
      <c r="CE81" s="303">
        <v>2632.1887636531333</v>
      </c>
      <c r="CF81" s="424"/>
      <c r="CG81" s="304">
        <v>3686.9490536217986</v>
      </c>
      <c r="CH81" s="423"/>
      <c r="CI81" s="303">
        <v>3503.6924671121214</v>
      </c>
      <c r="CJ81" s="424"/>
      <c r="CK81" s="304">
        <v>4323.3971149810468</v>
      </c>
      <c r="CL81" s="423"/>
      <c r="CM81" s="303">
        <v>4921.6637044967911</v>
      </c>
      <c r="CN81" s="424"/>
      <c r="CO81" s="304">
        <v>5615.1743768449805</v>
      </c>
      <c r="CP81" s="423"/>
      <c r="CQ81" s="303">
        <v>5949.873436860933</v>
      </c>
      <c r="CR81" s="424"/>
      <c r="CS81" s="304">
        <v>6075.3496880679777</v>
      </c>
      <c r="CT81" s="423"/>
      <c r="CU81" s="303">
        <v>6475.9914297076539</v>
      </c>
      <c r="CV81" s="424"/>
      <c r="CW81" s="304">
        <v>6025.0350178959452</v>
      </c>
      <c r="CX81" s="423"/>
      <c r="CY81" s="303">
        <v>6180.3092140861318</v>
      </c>
      <c r="CZ81" s="424"/>
      <c r="DA81" s="304">
        <v>6746.9649422656694</v>
      </c>
      <c r="DB81" s="423"/>
    </row>
    <row r="82" spans="2:106" s="425" customFormat="1" ht="14.25" customHeight="1" x14ac:dyDescent="0.25">
      <c r="B82" s="406" t="s">
        <v>746</v>
      </c>
      <c r="C82" s="393"/>
      <c r="D82" s="393"/>
      <c r="E82" s="406"/>
      <c r="F82" s="406"/>
      <c r="G82" s="303">
        <v>2011.6302185482477</v>
      </c>
      <c r="H82" s="414"/>
      <c r="I82" s="304">
        <v>3308.6724365030814</v>
      </c>
      <c r="J82" s="423"/>
      <c r="K82" s="303">
        <v>3509.2097077172102</v>
      </c>
      <c r="L82" s="414"/>
      <c r="M82" s="304">
        <v>4176.1895975626121</v>
      </c>
      <c r="N82" s="423"/>
      <c r="O82" s="303">
        <v>4195.0040727694186</v>
      </c>
      <c r="P82" s="414"/>
      <c r="Q82" s="304">
        <v>3795.0572939259173</v>
      </c>
      <c r="R82" s="423"/>
      <c r="S82" s="303">
        <v>2699.3599007986459</v>
      </c>
      <c r="T82" s="414"/>
      <c r="U82" s="304">
        <v>3075.8620454304419</v>
      </c>
      <c r="V82" s="423"/>
      <c r="W82" s="303">
        <v>3281.0887307604771</v>
      </c>
      <c r="X82" s="414"/>
      <c r="Y82" s="304">
        <v>3911.3847705486451</v>
      </c>
      <c r="Z82" s="423"/>
      <c r="AA82" s="303">
        <v>3040.4828689308542</v>
      </c>
      <c r="AB82" s="414"/>
      <c r="AC82" s="304">
        <v>2343.2018994596901</v>
      </c>
      <c r="AD82" s="423"/>
      <c r="AE82" s="303">
        <v>3315.5176096830833</v>
      </c>
      <c r="AF82" s="414"/>
      <c r="AG82" s="304">
        <v>2643.9659072164204</v>
      </c>
      <c r="AH82" s="423"/>
      <c r="AI82" s="305">
        <v>1938.3723479746322</v>
      </c>
      <c r="AJ82" s="416"/>
      <c r="AK82" s="304">
        <v>3847.4104947540877</v>
      </c>
      <c r="AL82" s="423"/>
      <c r="AM82" s="303">
        <v>2997.9140229064133</v>
      </c>
      <c r="AN82" s="414"/>
      <c r="AO82" s="304">
        <v>3037.3345488446621</v>
      </c>
      <c r="AP82" s="423"/>
      <c r="AQ82" s="303">
        <v>1602.0866164999343</v>
      </c>
      <c r="AR82" s="414"/>
      <c r="AS82" s="304">
        <v>3614.9184609722106</v>
      </c>
      <c r="AT82" s="423"/>
      <c r="AU82" s="303">
        <v>1822.2588552915861</v>
      </c>
      <c r="AV82" s="424"/>
      <c r="AW82" s="304">
        <v>2026.0193727560568</v>
      </c>
      <c r="AX82" s="423"/>
      <c r="AY82" s="303">
        <v>2960.9697966642539</v>
      </c>
      <c r="AZ82" s="424"/>
      <c r="BA82" s="304">
        <v>4183.1102770070447</v>
      </c>
      <c r="BB82" s="423"/>
      <c r="BC82" s="303">
        <v>2774.1801783909641</v>
      </c>
      <c r="BD82" s="424"/>
      <c r="BE82" s="304">
        <v>2387.466754923003</v>
      </c>
      <c r="BF82" s="423"/>
      <c r="BG82" s="303">
        <v>2319.7198782235218</v>
      </c>
      <c r="BH82" s="424"/>
      <c r="BI82" s="304">
        <v>1812.3640501588518</v>
      </c>
      <c r="BJ82" s="423"/>
      <c r="BK82" s="303">
        <v>2805.2720127061366</v>
      </c>
      <c r="BL82" s="424"/>
      <c r="BM82" s="304">
        <v>2210.2654734247417</v>
      </c>
      <c r="BN82" s="423"/>
      <c r="BO82" s="303">
        <v>1600.6238831615374</v>
      </c>
      <c r="BP82" s="424"/>
      <c r="BQ82" s="304">
        <v>2986.0401056184223</v>
      </c>
      <c r="BR82" s="423"/>
      <c r="BS82" s="303">
        <v>1765.105245700403</v>
      </c>
      <c r="BT82" s="424"/>
      <c r="BU82" s="304">
        <v>2729.3150500652819</v>
      </c>
      <c r="BV82" s="423"/>
      <c r="BW82" s="303">
        <v>1660.4979074656526</v>
      </c>
      <c r="BX82" s="424"/>
      <c r="BY82" s="304">
        <v>1715.9461491043082</v>
      </c>
      <c r="BZ82" s="423"/>
      <c r="CA82" s="303">
        <v>1654.0678545125381</v>
      </c>
      <c r="CB82" s="424"/>
      <c r="CC82" s="304">
        <v>1834.4474817561072</v>
      </c>
      <c r="CD82" s="423"/>
      <c r="CE82" s="303">
        <v>2601.6906970530954</v>
      </c>
      <c r="CF82" s="424"/>
      <c r="CG82" s="304">
        <v>3597.2538545717712</v>
      </c>
      <c r="CH82" s="423"/>
      <c r="CI82" s="303">
        <v>3224.5611632122336</v>
      </c>
      <c r="CJ82" s="424"/>
      <c r="CK82" s="304">
        <v>3633.7067120609108</v>
      </c>
      <c r="CL82" s="423"/>
      <c r="CM82" s="303">
        <v>4103.0461399666719</v>
      </c>
      <c r="CN82" s="424"/>
      <c r="CO82" s="304">
        <v>4101.9709170023534</v>
      </c>
      <c r="CP82" s="423"/>
      <c r="CQ82" s="303">
        <v>3764.2867891483902</v>
      </c>
      <c r="CR82" s="424"/>
      <c r="CS82" s="304">
        <v>3776.9896980342</v>
      </c>
      <c r="CT82" s="423"/>
      <c r="CU82" s="303">
        <v>4863.0003039169933</v>
      </c>
      <c r="CV82" s="424"/>
      <c r="CW82" s="304">
        <v>3137.7408736202342</v>
      </c>
      <c r="CX82" s="423"/>
      <c r="CY82" s="303">
        <v>3384.2172343936431</v>
      </c>
      <c r="CZ82" s="424"/>
      <c r="DA82" s="304">
        <v>3615.0005348259838</v>
      </c>
      <c r="DB82" s="423"/>
    </row>
    <row r="83" spans="2:106" s="425" customFormat="1" ht="14.25" customHeight="1" x14ac:dyDescent="0.25">
      <c r="B83" s="406" t="s">
        <v>747</v>
      </c>
      <c r="C83" s="393"/>
      <c r="D83" s="426"/>
      <c r="E83" s="427"/>
      <c r="F83" s="427"/>
      <c r="G83" s="303">
        <v>1380.8624603465848</v>
      </c>
      <c r="H83" s="428"/>
      <c r="I83" s="304">
        <v>2843.2359298867132</v>
      </c>
      <c r="J83" s="423"/>
      <c r="K83" s="303">
        <v>1051.6242824022111</v>
      </c>
      <c r="L83" s="428"/>
      <c r="M83" s="304">
        <v>1812.5751930417216</v>
      </c>
      <c r="N83" s="423"/>
      <c r="O83" s="303">
        <v>1310.3887601161603</v>
      </c>
      <c r="P83" s="428"/>
      <c r="Q83" s="304">
        <v>1797.7913814529677</v>
      </c>
      <c r="R83" s="423"/>
      <c r="S83" s="303">
        <v>1348.5152848884027</v>
      </c>
      <c r="T83" s="428"/>
      <c r="U83" s="304">
        <v>1862.2498908963189</v>
      </c>
      <c r="V83" s="423"/>
      <c r="W83" s="303">
        <v>2882.5258946302447</v>
      </c>
      <c r="X83" s="428"/>
      <c r="Y83" s="304">
        <v>2166.8287348508425</v>
      </c>
      <c r="Z83" s="423"/>
      <c r="AA83" s="303">
        <v>1227.1457780338192</v>
      </c>
      <c r="AB83" s="428"/>
      <c r="AC83" s="304">
        <v>1101.1532387161612</v>
      </c>
      <c r="AD83" s="423"/>
      <c r="AE83" s="303">
        <v>1687.3543488692319</v>
      </c>
      <c r="AF83" s="428"/>
      <c r="AG83" s="304">
        <v>801.72236539254595</v>
      </c>
      <c r="AH83" s="423"/>
      <c r="AI83" s="305">
        <v>647.66200319497739</v>
      </c>
      <c r="AJ83" s="429"/>
      <c r="AK83" s="304">
        <v>2798.6929848714803</v>
      </c>
      <c r="AL83" s="423"/>
      <c r="AM83" s="303">
        <v>1927.2921818281779</v>
      </c>
      <c r="AN83" s="428"/>
      <c r="AO83" s="304">
        <v>1660.2399283271432</v>
      </c>
      <c r="AP83" s="423"/>
      <c r="AQ83" s="303">
        <v>908.37363063145995</v>
      </c>
      <c r="AR83" s="428"/>
      <c r="AS83" s="304">
        <v>2983.8353126429402</v>
      </c>
      <c r="AT83" s="423"/>
      <c r="AU83" s="303">
        <v>1670.1638148170512</v>
      </c>
      <c r="AV83" s="424"/>
      <c r="AW83" s="304">
        <v>2126.092951799676</v>
      </c>
      <c r="AX83" s="423"/>
      <c r="AY83" s="303">
        <v>985.19183057192595</v>
      </c>
      <c r="AZ83" s="424"/>
      <c r="BA83" s="304">
        <v>3252.9916113945951</v>
      </c>
      <c r="BB83" s="423"/>
      <c r="BC83" s="303">
        <v>1541.1410152006617</v>
      </c>
      <c r="BD83" s="424"/>
      <c r="BE83" s="304">
        <v>1952.2761460546128</v>
      </c>
      <c r="BF83" s="423"/>
      <c r="BG83" s="303">
        <v>2239.9433788401616</v>
      </c>
      <c r="BH83" s="424"/>
      <c r="BI83" s="304">
        <v>869.16423050865683</v>
      </c>
      <c r="BJ83" s="423"/>
      <c r="BK83" s="303">
        <v>1866.6686175733691</v>
      </c>
      <c r="BL83" s="424"/>
      <c r="BM83" s="304">
        <v>860.70202530605093</v>
      </c>
      <c r="BN83" s="423"/>
      <c r="BO83" s="303">
        <v>835.89825189850399</v>
      </c>
      <c r="BP83" s="424"/>
      <c r="BQ83" s="304">
        <v>776.66327115479646</v>
      </c>
      <c r="BR83" s="423"/>
      <c r="BS83" s="303">
        <v>1035.0277419168704</v>
      </c>
      <c r="BT83" s="424"/>
      <c r="BU83" s="304">
        <v>898.91743627063329</v>
      </c>
      <c r="BV83" s="423"/>
      <c r="BW83" s="303">
        <v>62.166781348019981</v>
      </c>
      <c r="BX83" s="424"/>
      <c r="BY83" s="304">
        <v>109.92692471823781</v>
      </c>
      <c r="BZ83" s="423"/>
      <c r="CA83" s="303">
        <v>221.65829856832943</v>
      </c>
      <c r="CB83" s="424"/>
      <c r="CC83" s="304">
        <v>372.76489917649315</v>
      </c>
      <c r="CD83" s="423"/>
      <c r="CE83" s="303">
        <v>639.92648636729677</v>
      </c>
      <c r="CF83" s="424"/>
      <c r="CG83" s="304">
        <v>908.881255588557</v>
      </c>
      <c r="CH83" s="423"/>
      <c r="CI83" s="303">
        <v>1084.3579674703026</v>
      </c>
      <c r="CJ83" s="424"/>
      <c r="CK83" s="304">
        <v>837.28637462728375</v>
      </c>
      <c r="CL83" s="423"/>
      <c r="CM83" s="303">
        <v>1103.0517743655994</v>
      </c>
      <c r="CN83" s="424"/>
      <c r="CO83" s="304">
        <v>938.98972139590728</v>
      </c>
      <c r="CP83" s="423"/>
      <c r="CQ83" s="303">
        <v>787.10130831557558</v>
      </c>
      <c r="CR83" s="424"/>
      <c r="CS83" s="304">
        <v>1213.9299871445724</v>
      </c>
      <c r="CT83" s="423"/>
      <c r="CU83" s="303">
        <v>969.15660866028725</v>
      </c>
      <c r="CV83" s="424"/>
      <c r="CW83" s="304">
        <v>868.84132523906487</v>
      </c>
      <c r="CX83" s="423"/>
      <c r="CY83" s="303">
        <v>271.74726383407489</v>
      </c>
      <c r="CZ83" s="424"/>
      <c r="DA83" s="304">
        <v>630.75530238635724</v>
      </c>
      <c r="DB83" s="423"/>
    </row>
    <row r="84" spans="2:106" s="425" customFormat="1" ht="14.25" customHeight="1" x14ac:dyDescent="0.25">
      <c r="B84" s="406" t="s">
        <v>748</v>
      </c>
      <c r="C84" s="393"/>
      <c r="D84" s="393"/>
      <c r="E84" s="406"/>
      <c r="F84" s="406"/>
      <c r="G84" s="303">
        <v>630.76775820166279</v>
      </c>
      <c r="H84" s="414"/>
      <c r="I84" s="304">
        <v>465.43650661636832</v>
      </c>
      <c r="J84" s="423"/>
      <c r="K84" s="303">
        <v>2457.5854253149992</v>
      </c>
      <c r="L84" s="414"/>
      <c r="M84" s="304">
        <v>2363.6144045208907</v>
      </c>
      <c r="N84" s="423"/>
      <c r="O84" s="303">
        <v>2884.6153126532586</v>
      </c>
      <c r="P84" s="414"/>
      <c r="Q84" s="304">
        <v>1997.2659124729496</v>
      </c>
      <c r="R84" s="423"/>
      <c r="S84" s="303">
        <v>1350.844615910243</v>
      </c>
      <c r="T84" s="414"/>
      <c r="U84" s="304">
        <v>1213.6121545341232</v>
      </c>
      <c r="V84" s="423"/>
      <c r="W84" s="303">
        <v>398.56283613023265</v>
      </c>
      <c r="X84" s="414"/>
      <c r="Y84" s="304">
        <v>1744.5560356978028</v>
      </c>
      <c r="Z84" s="423"/>
      <c r="AA84" s="303">
        <v>1813.3370908970348</v>
      </c>
      <c r="AB84" s="414"/>
      <c r="AC84" s="304">
        <v>1242.0486607435291</v>
      </c>
      <c r="AD84" s="423"/>
      <c r="AE84" s="303">
        <v>1628.1632608138514</v>
      </c>
      <c r="AF84" s="414"/>
      <c r="AG84" s="304">
        <v>1842.2435418238747</v>
      </c>
      <c r="AH84" s="423"/>
      <c r="AI84" s="305">
        <v>1290.7103447796549</v>
      </c>
      <c r="AJ84" s="416"/>
      <c r="AK84" s="304">
        <v>1048.7175098826074</v>
      </c>
      <c r="AL84" s="423"/>
      <c r="AM84" s="303">
        <v>1070.6218410782353</v>
      </c>
      <c r="AN84" s="414"/>
      <c r="AO84" s="304">
        <v>1377.0946205175187</v>
      </c>
      <c r="AP84" s="423"/>
      <c r="AQ84" s="303">
        <v>693.71298586847433</v>
      </c>
      <c r="AR84" s="414"/>
      <c r="AS84" s="304">
        <v>631.08314832927022</v>
      </c>
      <c r="AT84" s="423"/>
      <c r="AU84" s="303">
        <v>152.09504047453493</v>
      </c>
      <c r="AV84" s="424"/>
      <c r="AW84" s="304">
        <v>-100.07357904361925</v>
      </c>
      <c r="AX84" s="423"/>
      <c r="AY84" s="303">
        <v>1975.7779660923279</v>
      </c>
      <c r="AZ84" s="424"/>
      <c r="BA84" s="304">
        <v>930.11866561244915</v>
      </c>
      <c r="BB84" s="423"/>
      <c r="BC84" s="303">
        <v>1233.0391631903026</v>
      </c>
      <c r="BD84" s="424"/>
      <c r="BE84" s="304">
        <v>435.19060886839014</v>
      </c>
      <c r="BF84" s="423"/>
      <c r="BG84" s="303">
        <v>79.77649938336026</v>
      </c>
      <c r="BH84" s="424"/>
      <c r="BI84" s="304">
        <v>943.19981965019497</v>
      </c>
      <c r="BJ84" s="423"/>
      <c r="BK84" s="303">
        <v>938.60339513276745</v>
      </c>
      <c r="BL84" s="424"/>
      <c r="BM84" s="304">
        <v>1349.5634481186905</v>
      </c>
      <c r="BN84" s="423"/>
      <c r="BO84" s="303">
        <v>764.72563126303328</v>
      </c>
      <c r="BP84" s="424"/>
      <c r="BQ84" s="304">
        <v>2209.376834463626</v>
      </c>
      <c r="BR84" s="423"/>
      <c r="BS84" s="303">
        <v>730.07750378353262</v>
      </c>
      <c r="BT84" s="424"/>
      <c r="BU84" s="304">
        <v>1830.3976137946488</v>
      </c>
      <c r="BV84" s="423"/>
      <c r="BW84" s="303">
        <v>1598.3311261176325</v>
      </c>
      <c r="BX84" s="424"/>
      <c r="BY84" s="304">
        <v>1606.0192243860704</v>
      </c>
      <c r="BZ84" s="423"/>
      <c r="CA84" s="303">
        <v>1432.4095559442087</v>
      </c>
      <c r="CB84" s="424"/>
      <c r="CC84" s="304">
        <v>1461.6825825796141</v>
      </c>
      <c r="CD84" s="423"/>
      <c r="CE84" s="303">
        <v>1961.7642106857984</v>
      </c>
      <c r="CF84" s="424"/>
      <c r="CG84" s="304">
        <v>2688.3725989832142</v>
      </c>
      <c r="CH84" s="423"/>
      <c r="CI84" s="303">
        <v>2140.2031957419313</v>
      </c>
      <c r="CJ84" s="424"/>
      <c r="CK84" s="304">
        <v>2796.4203374336271</v>
      </c>
      <c r="CL84" s="423"/>
      <c r="CM84" s="303">
        <v>2999.9943656010728</v>
      </c>
      <c r="CN84" s="424"/>
      <c r="CO84" s="304">
        <v>3162.9811956064464</v>
      </c>
      <c r="CP84" s="423"/>
      <c r="CQ84" s="303">
        <v>2977.1854808328144</v>
      </c>
      <c r="CR84" s="424"/>
      <c r="CS84" s="304">
        <v>2563.0597108896277</v>
      </c>
      <c r="CT84" s="423"/>
      <c r="CU84" s="303">
        <v>3893.8436952567063</v>
      </c>
      <c r="CV84" s="424"/>
      <c r="CW84" s="304">
        <v>2268.8995483811691</v>
      </c>
      <c r="CX84" s="423"/>
      <c r="CY84" s="303">
        <v>3112.4699705595681</v>
      </c>
      <c r="CZ84" s="424"/>
      <c r="DA84" s="304">
        <v>2984.2452324396268</v>
      </c>
      <c r="DB84" s="423"/>
    </row>
    <row r="85" spans="2:106" s="425" customFormat="1" ht="14.25" customHeight="1" x14ac:dyDescent="0.25">
      <c r="B85" s="406" t="s">
        <v>749</v>
      </c>
      <c r="C85" s="393"/>
      <c r="D85" s="393"/>
      <c r="E85" s="406"/>
      <c r="F85" s="406"/>
      <c r="G85" s="303">
        <v>4289.5329373989471</v>
      </c>
      <c r="H85" s="414"/>
      <c r="I85" s="304">
        <v>3213.4382776991738</v>
      </c>
      <c r="J85" s="423"/>
      <c r="K85" s="303">
        <v>3570.0920285975203</v>
      </c>
      <c r="L85" s="414"/>
      <c r="M85" s="304">
        <v>3964.6566500649265</v>
      </c>
      <c r="N85" s="423"/>
      <c r="O85" s="303">
        <v>3643.2292151550159</v>
      </c>
      <c r="P85" s="414"/>
      <c r="Q85" s="304">
        <v>3442.1551074868412</v>
      </c>
      <c r="R85" s="423"/>
      <c r="S85" s="303">
        <v>3196.5210050413843</v>
      </c>
      <c r="T85" s="414"/>
      <c r="U85" s="304">
        <v>3531.4491855422589</v>
      </c>
      <c r="V85" s="423"/>
      <c r="W85" s="303">
        <v>2627.9967867973965</v>
      </c>
      <c r="X85" s="414"/>
      <c r="Y85" s="304">
        <v>2558.9968007591856</v>
      </c>
      <c r="Z85" s="423"/>
      <c r="AA85" s="303">
        <v>2220.0584586599721</v>
      </c>
      <c r="AB85" s="414"/>
      <c r="AC85" s="304">
        <v>1935.4693690087436</v>
      </c>
      <c r="AD85" s="423"/>
      <c r="AE85" s="303">
        <v>2119.6226365915613</v>
      </c>
      <c r="AF85" s="414"/>
      <c r="AG85" s="304">
        <v>2478.2590170352469</v>
      </c>
      <c r="AH85" s="423"/>
      <c r="AI85" s="305">
        <v>2224.69354000866</v>
      </c>
      <c r="AJ85" s="416"/>
      <c r="AK85" s="304">
        <v>2154.7094219286691</v>
      </c>
      <c r="AL85" s="423"/>
      <c r="AM85" s="303">
        <v>3289.9502677476494</v>
      </c>
      <c r="AN85" s="414"/>
      <c r="AO85" s="304">
        <v>3920.6386446083538</v>
      </c>
      <c r="AP85" s="423"/>
      <c r="AQ85" s="303">
        <v>4752.5988811763355</v>
      </c>
      <c r="AR85" s="414"/>
      <c r="AS85" s="304">
        <v>4778.5663271607436</v>
      </c>
      <c r="AT85" s="423"/>
      <c r="AU85" s="303">
        <v>4513.9656032127177</v>
      </c>
      <c r="AV85" s="424"/>
      <c r="AW85" s="304">
        <v>4006.3348550743171</v>
      </c>
      <c r="AX85" s="423"/>
      <c r="AY85" s="303">
        <v>3776.0363099083124</v>
      </c>
      <c r="AZ85" s="424"/>
      <c r="BA85" s="304">
        <v>3707.7802512186763</v>
      </c>
      <c r="BB85" s="423"/>
      <c r="BC85" s="303">
        <v>3861.9216318773065</v>
      </c>
      <c r="BD85" s="424"/>
      <c r="BE85" s="304">
        <v>4226.547856314809</v>
      </c>
      <c r="BF85" s="423"/>
      <c r="BG85" s="303">
        <v>4808.494515325744</v>
      </c>
      <c r="BH85" s="424"/>
      <c r="BI85" s="304">
        <v>4430.2016448905169</v>
      </c>
      <c r="BJ85" s="423"/>
      <c r="BK85" s="303">
        <v>3384.8489172442896</v>
      </c>
      <c r="BL85" s="424"/>
      <c r="BM85" s="304">
        <v>2973.5841624594946</v>
      </c>
      <c r="BN85" s="423"/>
      <c r="BO85" s="303">
        <v>2016.1654991152079</v>
      </c>
      <c r="BP85" s="424"/>
      <c r="BQ85" s="304">
        <v>615.83671180021588</v>
      </c>
      <c r="BR85" s="423"/>
      <c r="BS85" s="303">
        <v>365.29101778004474</v>
      </c>
      <c r="BT85" s="424"/>
      <c r="BU85" s="304">
        <v>43.995794650153819</v>
      </c>
      <c r="BV85" s="423"/>
      <c r="BW85" s="303">
        <v>42.084461540033445</v>
      </c>
      <c r="BX85" s="424"/>
      <c r="BY85" s="304">
        <v>30.7814467000224</v>
      </c>
      <c r="BZ85" s="423"/>
      <c r="CA85" s="303">
        <v>29.716997800055118</v>
      </c>
      <c r="CB85" s="424"/>
      <c r="CC85" s="304">
        <v>29.928740960039654</v>
      </c>
      <c r="CD85" s="423"/>
      <c r="CE85" s="303">
        <v>30.498066600037824</v>
      </c>
      <c r="CF85" s="424"/>
      <c r="CG85" s="304">
        <v>89.695199050027526</v>
      </c>
      <c r="CH85" s="423"/>
      <c r="CI85" s="303">
        <v>279.13130389988777</v>
      </c>
      <c r="CJ85" s="424"/>
      <c r="CK85" s="304">
        <v>689.69040292013574</v>
      </c>
      <c r="CL85" s="423"/>
      <c r="CM85" s="303">
        <v>818.61756453011901</v>
      </c>
      <c r="CN85" s="424"/>
      <c r="CO85" s="304">
        <v>1513.2034598426269</v>
      </c>
      <c r="CP85" s="423"/>
      <c r="CQ85" s="303">
        <v>2185.5866477125433</v>
      </c>
      <c r="CR85" s="424"/>
      <c r="CS85" s="304">
        <v>2298.3599900337781</v>
      </c>
      <c r="CT85" s="423"/>
      <c r="CU85" s="303">
        <v>1612.9911257906604</v>
      </c>
      <c r="CV85" s="424"/>
      <c r="CW85" s="304">
        <v>2887.2941442757115</v>
      </c>
      <c r="CX85" s="423"/>
      <c r="CY85" s="303">
        <v>2796.0919796924886</v>
      </c>
      <c r="CZ85" s="424"/>
      <c r="DA85" s="304">
        <v>3131.9644074396861</v>
      </c>
      <c r="DB85" s="423"/>
    </row>
    <row r="86" spans="2:106" s="425" customFormat="1" ht="14.25" customHeight="1" x14ac:dyDescent="0.25">
      <c r="B86" s="406" t="s">
        <v>750</v>
      </c>
      <c r="C86" s="393"/>
      <c r="D86" s="393"/>
      <c r="E86" s="406"/>
      <c r="F86" s="406"/>
      <c r="G86" s="303">
        <v>4289.5329373989471</v>
      </c>
      <c r="H86" s="414"/>
      <c r="I86" s="304">
        <v>3213.4382776991738</v>
      </c>
      <c r="J86" s="423"/>
      <c r="K86" s="303">
        <v>3570.0920285975203</v>
      </c>
      <c r="L86" s="414"/>
      <c r="M86" s="304">
        <v>3964.6566500649265</v>
      </c>
      <c r="N86" s="423"/>
      <c r="O86" s="303">
        <v>3643.2292151550159</v>
      </c>
      <c r="P86" s="414"/>
      <c r="Q86" s="304">
        <v>3442.1551074868412</v>
      </c>
      <c r="R86" s="423"/>
      <c r="S86" s="303">
        <v>3196.5210050413843</v>
      </c>
      <c r="T86" s="414"/>
      <c r="U86" s="304">
        <v>3531.4491855422589</v>
      </c>
      <c r="V86" s="423"/>
      <c r="W86" s="303">
        <v>2627.9967867973965</v>
      </c>
      <c r="X86" s="414"/>
      <c r="Y86" s="304">
        <v>2558.9968007591856</v>
      </c>
      <c r="Z86" s="423"/>
      <c r="AA86" s="303">
        <v>2220.0584586599721</v>
      </c>
      <c r="AB86" s="414"/>
      <c r="AC86" s="304">
        <v>1935.4693690087436</v>
      </c>
      <c r="AD86" s="423"/>
      <c r="AE86" s="303">
        <v>2119.6226365915613</v>
      </c>
      <c r="AF86" s="414"/>
      <c r="AG86" s="304">
        <v>2478.2590170352469</v>
      </c>
      <c r="AH86" s="423"/>
      <c r="AI86" s="305">
        <v>2224.69354000866</v>
      </c>
      <c r="AJ86" s="416"/>
      <c r="AK86" s="304">
        <v>2154.7094219286691</v>
      </c>
      <c r="AL86" s="423"/>
      <c r="AM86" s="303">
        <v>3289.9502677476494</v>
      </c>
      <c r="AN86" s="414"/>
      <c r="AO86" s="304">
        <v>3920.6386446083538</v>
      </c>
      <c r="AP86" s="423"/>
      <c r="AQ86" s="303">
        <v>4752.5988811763355</v>
      </c>
      <c r="AR86" s="414"/>
      <c r="AS86" s="304">
        <v>4778.5663271607436</v>
      </c>
      <c r="AT86" s="423"/>
      <c r="AU86" s="303">
        <v>4513.9656032127177</v>
      </c>
      <c r="AV86" s="424"/>
      <c r="AW86" s="304">
        <v>4006.3348550743171</v>
      </c>
      <c r="AX86" s="423"/>
      <c r="AY86" s="303">
        <v>3776.0363099083124</v>
      </c>
      <c r="AZ86" s="424"/>
      <c r="BA86" s="304">
        <v>3707.7802512186763</v>
      </c>
      <c r="BB86" s="423"/>
      <c r="BC86" s="303">
        <v>3861.9216318773065</v>
      </c>
      <c r="BD86" s="424"/>
      <c r="BE86" s="304">
        <v>4226.547856314809</v>
      </c>
      <c r="BF86" s="423"/>
      <c r="BG86" s="303">
        <v>4808.494515325744</v>
      </c>
      <c r="BH86" s="424"/>
      <c r="BI86" s="304">
        <v>4430.2016448905169</v>
      </c>
      <c r="BJ86" s="423"/>
      <c r="BK86" s="303">
        <v>3384.8489172442896</v>
      </c>
      <c r="BL86" s="424"/>
      <c r="BM86" s="304">
        <v>2973.5841624594946</v>
      </c>
      <c r="BN86" s="423"/>
      <c r="BO86" s="303">
        <v>2016.1654991152079</v>
      </c>
      <c r="BP86" s="424"/>
      <c r="BQ86" s="304">
        <v>615.83671180021588</v>
      </c>
      <c r="BR86" s="423"/>
      <c r="BS86" s="303">
        <v>365.29101778004474</v>
      </c>
      <c r="BT86" s="424"/>
      <c r="BU86" s="304">
        <v>43.995794650153819</v>
      </c>
      <c r="BV86" s="423"/>
      <c r="BW86" s="303">
        <v>42.084461540033445</v>
      </c>
      <c r="BX86" s="424"/>
      <c r="BY86" s="304">
        <v>30.7814467000224</v>
      </c>
      <c r="BZ86" s="423"/>
      <c r="CA86" s="303">
        <v>29.716997800055118</v>
      </c>
      <c r="CB86" s="424"/>
      <c r="CC86" s="304">
        <v>29.928740960039654</v>
      </c>
      <c r="CD86" s="423"/>
      <c r="CE86" s="303">
        <v>30.498066600037824</v>
      </c>
      <c r="CF86" s="424"/>
      <c r="CG86" s="304">
        <v>89.695199050027526</v>
      </c>
      <c r="CH86" s="423"/>
      <c r="CI86" s="303">
        <v>279.13130389988777</v>
      </c>
      <c r="CJ86" s="424"/>
      <c r="CK86" s="304">
        <v>689.69040292013574</v>
      </c>
      <c r="CL86" s="423"/>
      <c r="CM86" s="303">
        <v>818.61756453011901</v>
      </c>
      <c r="CN86" s="424"/>
      <c r="CO86" s="304">
        <v>1513.2034598426269</v>
      </c>
      <c r="CP86" s="423"/>
      <c r="CQ86" s="303">
        <v>2185.5866477125433</v>
      </c>
      <c r="CR86" s="424"/>
      <c r="CS86" s="304">
        <v>2298.3599900337781</v>
      </c>
      <c r="CT86" s="423"/>
      <c r="CU86" s="303">
        <v>1612.9911257906604</v>
      </c>
      <c r="CV86" s="424"/>
      <c r="CW86" s="304">
        <v>2887.2941442757115</v>
      </c>
      <c r="CX86" s="423"/>
      <c r="CY86" s="303">
        <v>2796.0919796924886</v>
      </c>
      <c r="CZ86" s="424"/>
      <c r="DA86" s="304">
        <v>3131.9644074396861</v>
      </c>
      <c r="DB86" s="423"/>
    </row>
    <row r="87" spans="2:106" ht="14.25" customHeight="1" x14ac:dyDescent="0.25">
      <c r="B87" s="430"/>
      <c r="C87" s="430"/>
      <c r="D87" s="430"/>
      <c r="E87" s="430"/>
      <c r="F87" s="430"/>
      <c r="G87" s="431"/>
      <c r="H87" s="431"/>
      <c r="I87" s="432"/>
      <c r="J87" s="432"/>
      <c r="K87" s="431"/>
      <c r="L87" s="431"/>
      <c r="M87" s="432"/>
      <c r="N87" s="432"/>
      <c r="O87" s="431"/>
      <c r="P87" s="431"/>
      <c r="Q87" s="432"/>
      <c r="R87" s="432"/>
      <c r="S87" s="431"/>
      <c r="T87" s="431"/>
      <c r="U87" s="432"/>
      <c r="V87" s="432"/>
      <c r="W87" s="431"/>
      <c r="X87" s="431"/>
      <c r="Y87" s="432"/>
      <c r="Z87" s="432"/>
      <c r="AA87" s="431"/>
      <c r="AB87" s="431"/>
      <c r="AC87" s="432"/>
      <c r="AD87" s="432"/>
      <c r="AE87" s="431"/>
      <c r="AF87" s="431"/>
      <c r="AG87" s="432"/>
      <c r="AH87" s="432"/>
      <c r="AI87" s="433"/>
      <c r="AJ87" s="433"/>
      <c r="AK87" s="432"/>
      <c r="AL87" s="432"/>
      <c r="AM87" s="431"/>
      <c r="AN87" s="431"/>
      <c r="AO87" s="432"/>
      <c r="AP87" s="432"/>
      <c r="AQ87" s="431"/>
      <c r="AR87" s="431"/>
      <c r="AS87" s="432"/>
      <c r="AT87" s="432"/>
      <c r="AU87" s="431"/>
      <c r="AV87" s="431"/>
      <c r="AW87" s="432"/>
      <c r="AX87" s="432"/>
      <c r="AY87" s="431"/>
      <c r="AZ87" s="431"/>
      <c r="BA87" s="432"/>
      <c r="BB87" s="432"/>
      <c r="BC87" s="431"/>
      <c r="BD87" s="431"/>
      <c r="BE87" s="432"/>
      <c r="BF87" s="432"/>
      <c r="BG87" s="431"/>
      <c r="BH87" s="431"/>
      <c r="BI87" s="432"/>
      <c r="BJ87" s="432"/>
      <c r="BK87" s="431"/>
      <c r="BL87" s="431"/>
      <c r="BM87" s="432"/>
      <c r="BN87" s="432"/>
      <c r="BO87" s="431"/>
      <c r="BP87" s="431"/>
      <c r="BQ87" s="432"/>
      <c r="BR87" s="432"/>
      <c r="BS87" s="431"/>
      <c r="BT87" s="431"/>
      <c r="BU87" s="432"/>
      <c r="BV87" s="432"/>
      <c r="BW87" s="431"/>
      <c r="BX87" s="431"/>
      <c r="BY87" s="432"/>
      <c r="BZ87" s="432"/>
      <c r="CA87" s="431"/>
      <c r="CB87" s="431"/>
      <c r="CC87" s="432"/>
      <c r="CD87" s="432"/>
      <c r="CE87" s="431"/>
      <c r="CF87" s="431"/>
      <c r="CG87" s="432"/>
      <c r="CH87" s="432"/>
      <c r="CI87" s="431"/>
      <c r="CJ87" s="431"/>
      <c r="CK87" s="432"/>
      <c r="CL87" s="432"/>
      <c r="CM87" s="431"/>
      <c r="CN87" s="431"/>
      <c r="CO87" s="432"/>
      <c r="CP87" s="432"/>
      <c r="CQ87" s="431"/>
      <c r="CR87" s="431"/>
      <c r="CS87" s="432"/>
      <c r="CT87" s="432"/>
      <c r="CU87" s="431"/>
      <c r="CV87" s="431"/>
      <c r="CW87" s="432"/>
      <c r="CX87" s="432"/>
      <c r="CY87" s="431"/>
      <c r="CZ87" s="431"/>
      <c r="DA87" s="432"/>
      <c r="DB87" s="432"/>
    </row>
    <row r="88" spans="2:106" s="274" customFormat="1" ht="14.25" customHeight="1" x14ac:dyDescent="0.2">
      <c r="B88" s="287" t="s">
        <v>751</v>
      </c>
      <c r="C88" s="287"/>
      <c r="D88" s="287"/>
      <c r="E88" s="287"/>
      <c r="F88" s="287"/>
      <c r="G88" s="298">
        <v>9192.5032623212373</v>
      </c>
      <c r="H88" s="298">
        <v>45601.713944379939</v>
      </c>
      <c r="I88" s="299">
        <v>9455.9158263186182</v>
      </c>
      <c r="J88" s="299">
        <v>47808.436206681668</v>
      </c>
      <c r="K88" s="298">
        <v>10458.855305329456</v>
      </c>
      <c r="L88" s="298">
        <v>49583.005835457334</v>
      </c>
      <c r="M88" s="299">
        <v>11750.041530906507</v>
      </c>
      <c r="N88" s="299">
        <v>51704.605058508489</v>
      </c>
      <c r="O88" s="298">
        <v>11351.244707818096</v>
      </c>
      <c r="P88" s="298">
        <v>52166.599455957839</v>
      </c>
      <c r="Q88" s="299">
        <v>11185.866351351246</v>
      </c>
      <c r="R88" s="299">
        <v>52811.214380158141</v>
      </c>
      <c r="S88" s="298">
        <v>9678.335697392904</v>
      </c>
      <c r="T88" s="298">
        <v>51502.865592600945</v>
      </c>
      <c r="U88" s="299">
        <v>10372.633068935254</v>
      </c>
      <c r="V88" s="299">
        <v>52933.675594128028</v>
      </c>
      <c r="W88" s="298">
        <v>9629.9281346087409</v>
      </c>
      <c r="X88" s="298">
        <v>52398.614280648762</v>
      </c>
      <c r="Y88" s="299">
        <v>10734.292192886776</v>
      </c>
      <c r="Z88" s="299">
        <v>53740.235421088859</v>
      </c>
      <c r="AA88" s="298">
        <v>9800.1220553316034</v>
      </c>
      <c r="AB88" s="298">
        <v>52932.65423584231</v>
      </c>
      <c r="AC88" s="299">
        <v>8943.3242177418688</v>
      </c>
      <c r="AD88" s="299">
        <v>53326.9881266136</v>
      </c>
      <c r="AE88" s="298">
        <v>10773.130779607978</v>
      </c>
      <c r="AF88" s="298">
        <v>56114.543793825214</v>
      </c>
      <c r="AG88" s="299">
        <v>10266.063630642388</v>
      </c>
      <c r="AH88" s="299">
        <v>54857.431824122425</v>
      </c>
      <c r="AI88" s="300">
        <v>9289.6079820070699</v>
      </c>
      <c r="AJ88" s="300">
        <v>54608.351041865542</v>
      </c>
      <c r="AK88" s="299">
        <v>11321.905500562716</v>
      </c>
      <c r="AL88" s="299">
        <v>57908.546506363164</v>
      </c>
      <c r="AM88" s="298">
        <v>11856.111853578175</v>
      </c>
      <c r="AN88" s="298">
        <v>58271.161922167499</v>
      </c>
      <c r="AO88" s="299">
        <v>12703.939179632893</v>
      </c>
      <c r="AP88" s="299">
        <v>60560.563324003699</v>
      </c>
      <c r="AQ88" s="298">
        <v>11907.575871925614</v>
      </c>
      <c r="AR88" s="298">
        <v>61334.514573260152</v>
      </c>
      <c r="AS88" s="299">
        <v>13710.904794587455</v>
      </c>
      <c r="AT88" s="299">
        <v>62927.366198465359</v>
      </c>
      <c r="AU88" s="298">
        <v>12090.633368405319</v>
      </c>
      <c r="AV88" s="298">
        <v>61923.778780827728</v>
      </c>
      <c r="AW88" s="299">
        <v>12097.678917882218</v>
      </c>
      <c r="AX88" s="299">
        <v>61389.615400741895</v>
      </c>
      <c r="AY88" s="298">
        <v>13040.986312527497</v>
      </c>
      <c r="AZ88" s="298">
        <v>63187.587910620125</v>
      </c>
      <c r="BA88" s="299">
        <v>14051.13089692981</v>
      </c>
      <c r="BB88" s="299">
        <v>64219.544127702029</v>
      </c>
      <c r="BC88" s="298">
        <v>12928.522693196235</v>
      </c>
      <c r="BD88" s="298">
        <v>64272.142138368319</v>
      </c>
      <c r="BE88" s="299">
        <v>12985.375993025526</v>
      </c>
      <c r="BF88" s="299">
        <v>64147.778924901264</v>
      </c>
      <c r="BG88" s="298">
        <v>13213.788754458481</v>
      </c>
      <c r="BH88" s="298">
        <v>57597.492673718378</v>
      </c>
      <c r="BI88" s="299">
        <v>11985.28380485995</v>
      </c>
      <c r="BJ88" s="299">
        <v>58287.39832429892</v>
      </c>
      <c r="BK88" s="298">
        <v>11626.283682762019</v>
      </c>
      <c r="BL88" s="298">
        <v>59354.732367326003</v>
      </c>
      <c r="BM88" s="299">
        <v>10882.747354537014</v>
      </c>
      <c r="BN88" s="299">
        <v>58574.114178392956</v>
      </c>
      <c r="BO88" s="298">
        <v>8942.463962817581</v>
      </c>
      <c r="BP88" s="298">
        <v>58773.053863679161</v>
      </c>
      <c r="BQ88" s="299">
        <v>9322.1726869440281</v>
      </c>
      <c r="BR88" s="299">
        <v>60410.727891601084</v>
      </c>
      <c r="BS88" s="298">
        <v>8711.8988437460921</v>
      </c>
      <c r="BT88" s="298">
        <v>62421.184704528292</v>
      </c>
      <c r="BU88" s="299">
        <v>8757.5469581923917</v>
      </c>
      <c r="BV88" s="299">
        <v>63967.224417070072</v>
      </c>
      <c r="BW88" s="298">
        <v>8073.0773461734352</v>
      </c>
      <c r="BX88" s="298">
        <v>59785.583680374315</v>
      </c>
      <c r="BY88" s="299">
        <v>8316.5516570773652</v>
      </c>
      <c r="BZ88" s="299">
        <v>57282.04878162541</v>
      </c>
      <c r="CA88" s="298">
        <v>8857.6959175731336</v>
      </c>
      <c r="CB88" s="298">
        <v>57398.785724271816</v>
      </c>
      <c r="CC88" s="299">
        <v>8829.9684081460928</v>
      </c>
      <c r="CD88" s="299">
        <v>58102.000609123323</v>
      </c>
      <c r="CE88" s="298">
        <v>9775.0342875120296</v>
      </c>
      <c r="CF88" s="298">
        <v>59853.959532914785</v>
      </c>
      <c r="CG88" s="299">
        <v>10927.951816180783</v>
      </c>
      <c r="CH88" s="299">
        <v>61507.925833591042</v>
      </c>
      <c r="CI88" s="298">
        <v>11712.053736949902</v>
      </c>
      <c r="CJ88" s="298">
        <v>61810.214149087922</v>
      </c>
      <c r="CK88" s="299">
        <v>12524.514888535032</v>
      </c>
      <c r="CL88" s="299">
        <v>63409.581234232945</v>
      </c>
      <c r="CM88" s="298">
        <v>13176.129991560694</v>
      </c>
      <c r="CN88" s="298">
        <v>64608.144269142278</v>
      </c>
      <c r="CO88" s="299">
        <v>14069.885039851073</v>
      </c>
      <c r="CP88" s="299">
        <v>65605.896002791676</v>
      </c>
      <c r="CQ88" s="298">
        <v>14639.588709141266</v>
      </c>
      <c r="CR88" s="298">
        <v>66267.825438494037</v>
      </c>
      <c r="CS88" s="299">
        <v>14541.623865225954</v>
      </c>
      <c r="CT88" s="299">
        <v>66106.774040192948</v>
      </c>
      <c r="CU88" s="298">
        <v>15793.539664470089</v>
      </c>
      <c r="CV88" s="298">
        <v>64697.935508968134</v>
      </c>
      <c r="CW88" s="299">
        <v>15283.086044918498</v>
      </c>
      <c r="CX88" s="299">
        <v>64843.118719806414</v>
      </c>
      <c r="CY88" s="298">
        <v>15295.608730650814</v>
      </c>
      <c r="CZ88" s="298">
        <v>65802.523701491271</v>
      </c>
      <c r="DA88" s="299">
        <v>16070.381444989027</v>
      </c>
      <c r="DB88" s="299">
        <v>66988.727736166373</v>
      </c>
    </row>
    <row r="89" spans="2:106" s="274" customFormat="1" ht="14.25" customHeight="1" thickBot="1" x14ac:dyDescent="0.25">
      <c r="B89" s="434" t="s">
        <v>751</v>
      </c>
      <c r="C89" s="434"/>
      <c r="D89" s="434"/>
      <c r="E89" s="434"/>
      <c r="F89" s="434"/>
      <c r="G89" s="435"/>
      <c r="H89" s="435">
        <v>-36409.2106820587</v>
      </c>
      <c r="I89" s="436"/>
      <c r="J89" s="436">
        <v>-38352.52038036305</v>
      </c>
      <c r="K89" s="435"/>
      <c r="L89" s="435">
        <v>-39124.150530127881</v>
      </c>
      <c r="M89" s="436"/>
      <c r="N89" s="436">
        <v>-39954.563527601982</v>
      </c>
      <c r="O89" s="435"/>
      <c r="P89" s="435">
        <v>-40815.35474813974</v>
      </c>
      <c r="Q89" s="436"/>
      <c r="R89" s="436">
        <v>-41625.348028806897</v>
      </c>
      <c r="S89" s="435"/>
      <c r="T89" s="435">
        <v>-41824.529895208041</v>
      </c>
      <c r="U89" s="436"/>
      <c r="V89" s="436">
        <v>-42561.042525192774</v>
      </c>
      <c r="W89" s="435"/>
      <c r="X89" s="435">
        <v>-42768.686146040025</v>
      </c>
      <c r="Y89" s="436"/>
      <c r="Z89" s="436">
        <v>-43005.943228202086</v>
      </c>
      <c r="AA89" s="435"/>
      <c r="AB89" s="435">
        <v>-43132.532180510709</v>
      </c>
      <c r="AC89" s="436"/>
      <c r="AD89" s="436">
        <v>-44383.663908871735</v>
      </c>
      <c r="AE89" s="435"/>
      <c r="AF89" s="435">
        <v>-45341.413014217236</v>
      </c>
      <c r="AG89" s="436"/>
      <c r="AH89" s="436">
        <v>-44591.368193480041</v>
      </c>
      <c r="AI89" s="437"/>
      <c r="AJ89" s="437">
        <v>-45318.743059858476</v>
      </c>
      <c r="AK89" s="436"/>
      <c r="AL89" s="436">
        <v>-46586.641005800448</v>
      </c>
      <c r="AM89" s="435"/>
      <c r="AN89" s="435">
        <v>-46415.05006858932</v>
      </c>
      <c r="AO89" s="436"/>
      <c r="AP89" s="436">
        <v>-47856.624144370806</v>
      </c>
      <c r="AQ89" s="435"/>
      <c r="AR89" s="435">
        <v>-49426.93870133454</v>
      </c>
      <c r="AS89" s="436"/>
      <c r="AT89" s="436">
        <v>-49216.461403877904</v>
      </c>
      <c r="AU89" s="435"/>
      <c r="AV89" s="435">
        <v>-49833.145412422411</v>
      </c>
      <c r="AW89" s="436"/>
      <c r="AX89" s="436">
        <v>-49291.936482859674</v>
      </c>
      <c r="AY89" s="435"/>
      <c r="AZ89" s="435">
        <v>-50146.601598092631</v>
      </c>
      <c r="BA89" s="436"/>
      <c r="BB89" s="436">
        <v>-50168.413230772218</v>
      </c>
      <c r="BC89" s="435"/>
      <c r="BD89" s="435">
        <v>-51343.61944517208</v>
      </c>
      <c r="BE89" s="436"/>
      <c r="BF89" s="436">
        <v>-51162.402931875738</v>
      </c>
      <c r="BG89" s="435"/>
      <c r="BH89" s="435">
        <v>-44383.703919259897</v>
      </c>
      <c r="BI89" s="436"/>
      <c r="BJ89" s="436">
        <v>-46302.114519438968</v>
      </c>
      <c r="BK89" s="435"/>
      <c r="BL89" s="435">
        <v>-47728.448684563984</v>
      </c>
      <c r="BM89" s="436"/>
      <c r="BN89" s="436">
        <v>-47691.36682385594</v>
      </c>
      <c r="BO89" s="435"/>
      <c r="BP89" s="435">
        <v>-49830.589900861582</v>
      </c>
      <c r="BQ89" s="436"/>
      <c r="BR89" s="436">
        <v>-51088.555204657052</v>
      </c>
      <c r="BS89" s="435"/>
      <c r="BT89" s="435">
        <v>-53709.285860782198</v>
      </c>
      <c r="BU89" s="436"/>
      <c r="BV89" s="436">
        <v>-55209.677458877683</v>
      </c>
      <c r="BW89" s="435"/>
      <c r="BX89" s="435">
        <v>-51712.50633420088</v>
      </c>
      <c r="BY89" s="436"/>
      <c r="BZ89" s="436">
        <v>-48965.497124548041</v>
      </c>
      <c r="CA89" s="435"/>
      <c r="CB89" s="435">
        <v>-48541.089806698685</v>
      </c>
      <c r="CC89" s="436"/>
      <c r="CD89" s="436">
        <v>-49272.032200977228</v>
      </c>
      <c r="CE89" s="435"/>
      <c r="CF89" s="435">
        <v>-50078.925245402759</v>
      </c>
      <c r="CG89" s="436"/>
      <c r="CH89" s="436">
        <v>-50579.974017410263</v>
      </c>
      <c r="CI89" s="435"/>
      <c r="CJ89" s="435">
        <v>-50098.160412138022</v>
      </c>
      <c r="CK89" s="436"/>
      <c r="CL89" s="436">
        <v>-50885.066345697909</v>
      </c>
      <c r="CM89" s="435"/>
      <c r="CN89" s="435">
        <v>-51432.014277581584</v>
      </c>
      <c r="CO89" s="436"/>
      <c r="CP89" s="436">
        <v>-51536.010962940607</v>
      </c>
      <c r="CQ89" s="435"/>
      <c r="CR89" s="435">
        <v>-51628.236729352771</v>
      </c>
      <c r="CS89" s="436"/>
      <c r="CT89" s="436">
        <v>-51565.150174966991</v>
      </c>
      <c r="CU89" s="435"/>
      <c r="CV89" s="435">
        <v>-48904.395844498045</v>
      </c>
      <c r="CW89" s="436"/>
      <c r="CX89" s="436">
        <v>-49560.032674887916</v>
      </c>
      <c r="CY89" s="435"/>
      <c r="CZ89" s="435">
        <v>-50506.914970840458</v>
      </c>
      <c r="DA89" s="436"/>
      <c r="DB89" s="436">
        <v>-50918.346291177346</v>
      </c>
    </row>
    <row r="90" spans="2:106" s="274" customFormat="1" ht="14.25" customHeight="1" x14ac:dyDescent="0.2">
      <c r="B90" s="284"/>
      <c r="C90" s="284"/>
      <c r="D90" s="284"/>
      <c r="E90" s="284"/>
      <c r="F90" s="284"/>
      <c r="G90" s="284"/>
      <c r="H90" s="284"/>
      <c r="I90" s="438"/>
      <c r="J90" s="438"/>
      <c r="K90" s="284"/>
      <c r="L90" s="284"/>
      <c r="M90" s="438"/>
      <c r="N90" s="438"/>
      <c r="O90" s="284"/>
      <c r="P90" s="284"/>
      <c r="Q90" s="438"/>
      <c r="R90" s="438"/>
      <c r="S90" s="284"/>
      <c r="T90" s="284"/>
      <c r="U90" s="438"/>
      <c r="V90" s="438"/>
      <c r="W90" s="284"/>
      <c r="X90" s="284"/>
      <c r="Y90" s="438"/>
      <c r="Z90" s="438"/>
      <c r="AA90" s="284"/>
      <c r="AB90" s="284"/>
      <c r="AC90" s="438"/>
      <c r="AD90" s="438"/>
      <c r="AE90" s="284"/>
      <c r="AF90" s="284"/>
      <c r="AG90" s="438"/>
      <c r="AH90" s="438"/>
      <c r="AI90" s="374"/>
      <c r="AJ90" s="374"/>
      <c r="AK90" s="438"/>
      <c r="AL90" s="438"/>
      <c r="AM90" s="284"/>
      <c r="AN90" s="284"/>
      <c r="AO90" s="438"/>
      <c r="AP90" s="438"/>
      <c r="AQ90" s="284"/>
      <c r="AR90" s="284"/>
      <c r="AS90" s="438"/>
      <c r="AT90" s="438"/>
      <c r="AU90" s="284"/>
      <c r="AV90" s="284"/>
      <c r="AW90" s="438"/>
      <c r="AX90" s="438"/>
      <c r="AY90" s="284"/>
      <c r="AZ90" s="284"/>
      <c r="BA90" s="438"/>
      <c r="BB90" s="438"/>
      <c r="BC90" s="284"/>
      <c r="BD90" s="284"/>
      <c r="BE90" s="438"/>
      <c r="BF90" s="438"/>
      <c r="BG90" s="284"/>
      <c r="BH90" s="284"/>
      <c r="BI90" s="438"/>
      <c r="BJ90" s="438"/>
      <c r="BK90" s="284"/>
      <c r="BL90" s="284"/>
      <c r="BM90" s="438"/>
      <c r="BN90" s="438"/>
      <c r="BO90" s="284"/>
      <c r="BP90" s="284"/>
      <c r="BQ90" s="438"/>
      <c r="BR90" s="438"/>
      <c r="BS90" s="284"/>
      <c r="BT90" s="284"/>
      <c r="BU90" s="438"/>
      <c r="BV90" s="438"/>
      <c r="BW90" s="284"/>
      <c r="BX90" s="284"/>
      <c r="BY90" s="438"/>
      <c r="BZ90" s="438"/>
      <c r="CA90" s="284"/>
      <c r="CB90" s="284"/>
      <c r="CC90" s="438"/>
      <c r="CD90" s="438"/>
      <c r="CE90" s="284"/>
      <c r="CF90" s="284"/>
      <c r="CG90" s="438"/>
      <c r="CH90" s="438"/>
      <c r="CI90" s="284"/>
      <c r="CJ90" s="284"/>
      <c r="CK90" s="438"/>
      <c r="CL90" s="438"/>
      <c r="CM90" s="284"/>
      <c r="CN90" s="284"/>
      <c r="CO90" s="438"/>
      <c r="CP90" s="438"/>
      <c r="CQ90" s="284"/>
      <c r="CR90" s="284"/>
      <c r="CS90" s="438"/>
      <c r="CT90" s="438"/>
      <c r="CU90" s="284"/>
      <c r="CV90" s="284"/>
      <c r="CW90" s="438"/>
      <c r="CX90" s="438"/>
      <c r="CY90" s="284"/>
      <c r="CZ90" s="284"/>
      <c r="DA90" s="438"/>
      <c r="DB90" s="438"/>
    </row>
    <row r="91" spans="2:106" s="425" customFormat="1" ht="14.25" customHeight="1" x14ac:dyDescent="0.25">
      <c r="B91" s="319" t="s">
        <v>648</v>
      </c>
      <c r="C91" s="272"/>
      <c r="D91" s="272"/>
      <c r="E91" s="272"/>
      <c r="F91" s="277"/>
      <c r="G91" s="277"/>
      <c r="H91" s="277"/>
      <c r="I91" s="439"/>
      <c r="J91" s="439"/>
      <c r="K91" s="277"/>
      <c r="L91" s="277"/>
      <c r="M91" s="439"/>
      <c r="N91" s="439"/>
      <c r="O91" s="277"/>
      <c r="P91" s="277"/>
      <c r="Q91" s="439"/>
      <c r="R91" s="439"/>
      <c r="S91" s="277"/>
      <c r="T91" s="277"/>
      <c r="U91" s="439"/>
      <c r="V91" s="439"/>
      <c r="W91" s="277"/>
      <c r="X91" s="277"/>
      <c r="Y91" s="439"/>
      <c r="Z91" s="439"/>
      <c r="AA91" s="277"/>
      <c r="AB91" s="277"/>
      <c r="AC91" s="439"/>
      <c r="AD91" s="439"/>
      <c r="AE91" s="277"/>
      <c r="AF91" s="277"/>
      <c r="AG91" s="439"/>
      <c r="AH91" s="439"/>
      <c r="AI91" s="361"/>
      <c r="AJ91" s="361"/>
      <c r="AK91" s="439"/>
      <c r="AL91" s="439"/>
      <c r="AM91" s="277"/>
      <c r="AN91" s="277"/>
      <c r="AO91" s="439"/>
      <c r="AP91" s="439"/>
      <c r="AQ91" s="277"/>
      <c r="AR91" s="277"/>
      <c r="AS91" s="439"/>
      <c r="AT91" s="439"/>
      <c r="AU91" s="277"/>
      <c r="AV91" s="277"/>
      <c r="AW91" s="439"/>
      <c r="AX91" s="439"/>
      <c r="AY91" s="277"/>
      <c r="AZ91" s="277"/>
      <c r="BA91" s="439"/>
      <c r="BB91" s="439"/>
      <c r="BC91" s="277"/>
      <c r="BD91" s="277"/>
      <c r="BE91" s="439"/>
      <c r="BF91" s="439"/>
      <c r="BG91" s="277"/>
      <c r="BH91" s="277"/>
      <c r="BI91" s="439"/>
      <c r="BJ91" s="439"/>
      <c r="BK91" s="277"/>
      <c r="BL91" s="277"/>
      <c r="BM91" s="439"/>
      <c r="BN91" s="439"/>
      <c r="BO91" s="277"/>
      <c r="BP91" s="277"/>
      <c r="BQ91" s="439"/>
      <c r="BR91" s="439"/>
      <c r="BS91" s="277"/>
      <c r="BT91" s="277"/>
      <c r="BU91" s="439"/>
      <c r="BV91" s="439"/>
      <c r="BW91" s="277"/>
      <c r="BX91" s="277"/>
      <c r="BY91" s="439"/>
      <c r="BZ91" s="439"/>
      <c r="CA91" s="277"/>
      <c r="CB91" s="277"/>
      <c r="CC91" s="439"/>
      <c r="CD91" s="439"/>
      <c r="CE91" s="277"/>
      <c r="CF91" s="277"/>
      <c r="CG91" s="439"/>
      <c r="CH91" s="439"/>
      <c r="CI91" s="277"/>
      <c r="CJ91" s="277"/>
      <c r="CK91" s="439"/>
      <c r="CL91" s="439"/>
      <c r="CM91" s="277"/>
      <c r="CN91" s="277"/>
      <c r="CO91" s="439"/>
      <c r="CP91" s="439"/>
      <c r="CQ91" s="277"/>
      <c r="CR91" s="277"/>
      <c r="CS91" s="439"/>
      <c r="CT91" s="439"/>
      <c r="CU91" s="277"/>
      <c r="CV91" s="277"/>
      <c r="CW91" s="439"/>
      <c r="CX91" s="439"/>
      <c r="CY91" s="277"/>
      <c r="CZ91" s="277"/>
      <c r="DA91" s="439"/>
      <c r="DB91" s="439"/>
    </row>
    <row r="92" spans="2:106" s="425" customFormat="1" ht="14.25" customHeight="1" x14ac:dyDescent="0.25">
      <c r="B92" s="319"/>
      <c r="C92" s="272"/>
      <c r="D92" s="272"/>
      <c r="E92" s="272"/>
      <c r="F92" s="277"/>
      <c r="G92" s="277"/>
      <c r="H92" s="277"/>
      <c r="I92" s="439"/>
      <c r="J92" s="439"/>
      <c r="K92" s="277"/>
      <c r="L92" s="277"/>
      <c r="M92" s="439"/>
      <c r="N92" s="439"/>
      <c r="O92" s="277"/>
      <c r="P92" s="277"/>
      <c r="Q92" s="439"/>
      <c r="R92" s="439"/>
      <c r="S92" s="277"/>
      <c r="T92" s="277"/>
      <c r="U92" s="439"/>
      <c r="V92" s="439"/>
      <c r="W92" s="277"/>
      <c r="X92" s="277"/>
      <c r="Y92" s="439"/>
      <c r="Z92" s="439"/>
      <c r="AA92" s="277"/>
      <c r="AB92" s="277"/>
      <c r="AC92" s="439"/>
      <c r="AD92" s="439"/>
      <c r="AE92" s="277"/>
      <c r="AF92" s="277"/>
      <c r="AG92" s="439"/>
      <c r="AH92" s="439"/>
      <c r="AI92" s="361"/>
      <c r="AJ92" s="361"/>
      <c r="AK92" s="439"/>
      <c r="AL92" s="439"/>
      <c r="AM92" s="277"/>
      <c r="AN92" s="277"/>
      <c r="AO92" s="439"/>
      <c r="AP92" s="439"/>
      <c r="AQ92" s="277"/>
      <c r="AR92" s="277"/>
      <c r="AS92" s="439"/>
      <c r="AT92" s="439"/>
      <c r="AU92" s="277"/>
      <c r="AV92" s="277"/>
      <c r="AW92" s="439"/>
      <c r="AX92" s="439"/>
      <c r="AY92" s="277"/>
      <c r="AZ92" s="277"/>
      <c r="BA92" s="439"/>
      <c r="BB92" s="439"/>
      <c r="BC92" s="277"/>
      <c r="BD92" s="277"/>
      <c r="BE92" s="439"/>
      <c r="BF92" s="439"/>
      <c r="BG92" s="277"/>
      <c r="BH92" s="277"/>
      <c r="BI92" s="439"/>
      <c r="BJ92" s="439"/>
      <c r="BK92" s="277"/>
      <c r="BL92" s="277"/>
      <c r="BM92" s="439"/>
      <c r="BN92" s="439"/>
      <c r="BO92" s="277"/>
      <c r="BP92" s="277"/>
      <c r="BQ92" s="439"/>
      <c r="BR92" s="439"/>
      <c r="BS92" s="277"/>
      <c r="BT92" s="277"/>
      <c r="BU92" s="439"/>
      <c r="BV92" s="439"/>
      <c r="BW92" s="277"/>
      <c r="BX92" s="277"/>
      <c r="BY92" s="439"/>
      <c r="BZ92" s="439"/>
      <c r="CA92" s="277"/>
      <c r="CB92" s="277"/>
      <c r="CC92" s="439"/>
      <c r="CD92" s="439"/>
      <c r="CE92" s="277"/>
      <c r="CF92" s="277"/>
      <c r="CG92" s="439"/>
      <c r="CH92" s="439"/>
      <c r="CI92" s="277"/>
      <c r="CJ92" s="277"/>
      <c r="CK92" s="439"/>
      <c r="CL92" s="439"/>
      <c r="CM92" s="277"/>
      <c r="CN92" s="277"/>
      <c r="CO92" s="439"/>
      <c r="CP92" s="439"/>
      <c r="CQ92" s="277"/>
      <c r="CR92" s="277"/>
      <c r="CS92" s="439"/>
      <c r="CT92" s="439"/>
      <c r="CU92" s="277"/>
      <c r="CV92" s="277"/>
      <c r="CW92" s="439"/>
      <c r="CX92" s="439"/>
      <c r="CY92" s="277"/>
      <c r="CZ92" s="277"/>
      <c r="DA92" s="439"/>
      <c r="DB92" s="439"/>
    </row>
    <row r="93" spans="2:106" ht="14.25" customHeight="1" x14ac:dyDescent="0.25">
      <c r="B93" s="440" t="s">
        <v>752</v>
      </c>
      <c r="C93" s="440"/>
      <c r="D93" s="440"/>
      <c r="E93" s="440"/>
      <c r="F93" s="440"/>
      <c r="G93" s="441">
        <v>9192.5032623212373</v>
      </c>
      <c r="H93" s="441">
        <v>45601.713944379939</v>
      </c>
      <c r="I93" s="441">
        <v>9455.9158263186182</v>
      </c>
      <c r="J93" s="441">
        <v>47808.436206681668</v>
      </c>
      <c r="K93" s="441">
        <v>10458.855305329458</v>
      </c>
      <c r="L93" s="441">
        <v>49583.005835457334</v>
      </c>
      <c r="M93" s="441">
        <v>11750.041530906503</v>
      </c>
      <c r="N93" s="441">
        <v>51704.605058508496</v>
      </c>
      <c r="O93" s="441">
        <v>11351.244707818092</v>
      </c>
      <c r="P93" s="441">
        <v>52166.599455957847</v>
      </c>
      <c r="Q93" s="441">
        <v>11185.866351351247</v>
      </c>
      <c r="R93" s="441">
        <v>52811.214380158148</v>
      </c>
      <c r="S93" s="441">
        <v>9678.335697392904</v>
      </c>
      <c r="T93" s="441">
        <v>51502.865592600952</v>
      </c>
      <c r="U93" s="441">
        <v>10372.633068935254</v>
      </c>
      <c r="V93" s="441">
        <v>52933.675594128028</v>
      </c>
      <c r="W93" s="441">
        <v>9629.9281346087409</v>
      </c>
      <c r="X93" s="441">
        <v>52398.61428064877</v>
      </c>
      <c r="Y93" s="441">
        <v>10734.292192886776</v>
      </c>
      <c r="Z93" s="441">
        <v>53740.235421088866</v>
      </c>
      <c r="AA93" s="441">
        <v>9800.1220553316034</v>
      </c>
      <c r="AB93" s="441">
        <v>52932.654235842303</v>
      </c>
      <c r="AC93" s="441">
        <v>8943.3242177418688</v>
      </c>
      <c r="AD93" s="441">
        <v>53326.9881266136</v>
      </c>
      <c r="AE93" s="441">
        <v>10773.130779607978</v>
      </c>
      <c r="AF93" s="441">
        <v>56114.543793825207</v>
      </c>
      <c r="AG93" s="441">
        <v>10266.063630642388</v>
      </c>
      <c r="AH93" s="441">
        <v>54857.431824122432</v>
      </c>
      <c r="AI93" s="442">
        <v>9289.6079820070718</v>
      </c>
      <c r="AJ93" s="442">
        <v>54608.351041865542</v>
      </c>
      <c r="AK93" s="441">
        <v>11321.905500562714</v>
      </c>
      <c r="AL93" s="441">
        <v>57908.546506363164</v>
      </c>
      <c r="AM93" s="441">
        <v>11856.111853578173</v>
      </c>
      <c r="AN93" s="441">
        <v>58271.161922167506</v>
      </c>
      <c r="AO93" s="441">
        <v>12703.939179632895</v>
      </c>
      <c r="AP93" s="441">
        <v>60560.563324003691</v>
      </c>
      <c r="AQ93" s="441">
        <v>11907.575871925614</v>
      </c>
      <c r="AR93" s="441">
        <v>61334.514573260152</v>
      </c>
      <c r="AS93" s="441">
        <v>13710.904794587452</v>
      </c>
      <c r="AT93" s="441">
        <v>62927.366198465359</v>
      </c>
      <c r="AU93" s="441">
        <v>12090.633368405317</v>
      </c>
      <c r="AV93" s="441">
        <v>61923.778780827728</v>
      </c>
      <c r="AW93" s="441">
        <v>12097.678917882216</v>
      </c>
      <c r="AX93" s="441">
        <v>61389.615400741895</v>
      </c>
      <c r="AY93" s="441">
        <v>13040.986312527499</v>
      </c>
      <c r="AZ93" s="441">
        <v>63187.587910620117</v>
      </c>
      <c r="BA93" s="441">
        <v>14051.13089692981</v>
      </c>
      <c r="BB93" s="441">
        <v>64219.544127702015</v>
      </c>
      <c r="BC93" s="441">
        <v>12928.522693196233</v>
      </c>
      <c r="BD93" s="441">
        <v>64272.142138368312</v>
      </c>
      <c r="BE93" s="441">
        <v>12985.375993025524</v>
      </c>
      <c r="BF93" s="441">
        <v>64147.778924901257</v>
      </c>
      <c r="BG93" s="441">
        <v>13213.788754458479</v>
      </c>
      <c r="BH93" s="441">
        <v>57597.49267371837</v>
      </c>
      <c r="BI93" s="441">
        <v>11985.28380485995</v>
      </c>
      <c r="BJ93" s="441">
        <v>58287.39832429892</v>
      </c>
      <c r="BK93" s="441">
        <v>11626.283682762021</v>
      </c>
      <c r="BL93" s="441">
        <v>59354.732367325996</v>
      </c>
      <c r="BM93" s="441">
        <v>10882.747354537014</v>
      </c>
      <c r="BN93" s="441">
        <v>58574.114178392949</v>
      </c>
      <c r="BO93" s="441">
        <v>8942.4639628175792</v>
      </c>
      <c r="BP93" s="441">
        <v>58773.053863679161</v>
      </c>
      <c r="BQ93" s="441">
        <v>9322.1726869440263</v>
      </c>
      <c r="BR93" s="441">
        <v>60410.727891601084</v>
      </c>
      <c r="BS93" s="441">
        <v>8711.8988437460903</v>
      </c>
      <c r="BT93" s="441">
        <v>62421.184704528299</v>
      </c>
      <c r="BU93" s="441">
        <v>8757.5469581923917</v>
      </c>
      <c r="BV93" s="441">
        <v>63967.224417070087</v>
      </c>
      <c r="BW93" s="441">
        <v>8073.0773461734352</v>
      </c>
      <c r="BX93" s="441">
        <v>59785.583680374315</v>
      </c>
      <c r="BY93" s="441">
        <v>8316.5516570773652</v>
      </c>
      <c r="BZ93" s="441">
        <v>57282.048781625417</v>
      </c>
      <c r="CA93" s="441">
        <v>8857.6959175731317</v>
      </c>
      <c r="CB93" s="441">
        <v>57398.785724271816</v>
      </c>
      <c r="CC93" s="441">
        <v>8829.9684081460928</v>
      </c>
      <c r="CD93" s="441">
        <v>58102.000609123323</v>
      </c>
      <c r="CE93" s="441">
        <v>9775.0342875120296</v>
      </c>
      <c r="CF93" s="441">
        <v>59853.959532914785</v>
      </c>
      <c r="CG93" s="441">
        <v>10927.951816180783</v>
      </c>
      <c r="CH93" s="441">
        <v>61507.925833591042</v>
      </c>
      <c r="CI93" s="441">
        <v>11712.053736949902</v>
      </c>
      <c r="CJ93" s="441">
        <v>61810.214149087922</v>
      </c>
      <c r="CK93" s="441">
        <v>12524.514888535032</v>
      </c>
      <c r="CL93" s="441">
        <v>63409.581234232945</v>
      </c>
      <c r="CM93" s="441">
        <v>13176.129991560694</v>
      </c>
      <c r="CN93" s="441">
        <v>64608.144269142278</v>
      </c>
      <c r="CO93" s="441">
        <v>14069.885039851073</v>
      </c>
      <c r="CP93" s="441">
        <v>65605.896002791676</v>
      </c>
      <c r="CQ93" s="441">
        <v>14639.588709141266</v>
      </c>
      <c r="CR93" s="441">
        <v>66267.825438494037</v>
      </c>
      <c r="CS93" s="441">
        <v>14541.623865225954</v>
      </c>
      <c r="CT93" s="441">
        <v>66106.774040192948</v>
      </c>
      <c r="CU93" s="441">
        <v>15793.539664470089</v>
      </c>
      <c r="CV93" s="441">
        <v>64697.935508968134</v>
      </c>
      <c r="CW93" s="441">
        <v>15283.086044918498</v>
      </c>
      <c r="CX93" s="441">
        <v>64843.118719806414</v>
      </c>
      <c r="CY93" s="441">
        <v>15295.608730650814</v>
      </c>
      <c r="CZ93" s="441">
        <v>65802.523701491271</v>
      </c>
      <c r="DA93" s="441">
        <v>16070.381444989027</v>
      </c>
      <c r="DB93" s="441">
        <v>66988.727736166373</v>
      </c>
    </row>
    <row r="94" spans="2:106" ht="14.25" customHeight="1" x14ac:dyDescent="0.25">
      <c r="B94" s="443" t="s">
        <v>753</v>
      </c>
      <c r="C94" s="272"/>
      <c r="D94" s="272"/>
      <c r="E94" s="272"/>
      <c r="G94" s="303">
        <v>471.80012596053564</v>
      </c>
      <c r="H94" s="303">
        <v>8498.8125317549056</v>
      </c>
      <c r="I94" s="304">
        <v>536.87345573437631</v>
      </c>
      <c r="J94" s="304">
        <v>7903.1559020869445</v>
      </c>
      <c r="K94" s="303">
        <v>553.73345484450317</v>
      </c>
      <c r="L94" s="303">
        <v>7846.5563187876814</v>
      </c>
      <c r="M94" s="304">
        <v>570.80178728796341</v>
      </c>
      <c r="N94" s="304">
        <v>8338.7012997382262</v>
      </c>
      <c r="O94" s="303">
        <v>587.42845306475692</v>
      </c>
      <c r="P94" s="303">
        <v>9188.3485933042975</v>
      </c>
      <c r="Q94" s="304">
        <v>603.69678550821709</v>
      </c>
      <c r="R94" s="304">
        <v>9897.1417887431744</v>
      </c>
      <c r="S94" s="303">
        <v>617.2308599422563</v>
      </c>
      <c r="T94" s="303">
        <v>9286.1971301841168</v>
      </c>
      <c r="U94" s="304">
        <v>630.47769105589578</v>
      </c>
      <c r="V94" s="304">
        <v>9288.0625666109336</v>
      </c>
      <c r="W94" s="303">
        <v>643.72452216953525</v>
      </c>
      <c r="X94" s="303">
        <v>8956.8346774706642</v>
      </c>
      <c r="Y94" s="304">
        <v>813.58211919758708</v>
      </c>
      <c r="Z94" s="304">
        <v>8900.840214609947</v>
      </c>
      <c r="AA94" s="303">
        <v>893.03337838145683</v>
      </c>
      <c r="AB94" s="303">
        <v>8142.8210117185699</v>
      </c>
      <c r="AC94" s="304">
        <v>972.4000001924577</v>
      </c>
      <c r="AD94" s="304">
        <v>8321.3784856669427</v>
      </c>
      <c r="AE94" s="303">
        <v>1051.7666220034587</v>
      </c>
      <c r="AF94" s="303">
        <v>8612.8757009821711</v>
      </c>
      <c r="AG94" s="304">
        <v>1213.9452438144594</v>
      </c>
      <c r="AH94" s="304">
        <v>8439.4551493471099</v>
      </c>
      <c r="AI94" s="305">
        <v>1324.4524191753583</v>
      </c>
      <c r="AJ94" s="305">
        <v>8388.6422981244414</v>
      </c>
      <c r="AK94" s="304">
        <v>1338.1526017297244</v>
      </c>
      <c r="AL94" s="304">
        <v>9097.6949873654976</v>
      </c>
      <c r="AM94" s="303">
        <v>1351.8527842840906</v>
      </c>
      <c r="AN94" s="303">
        <v>8806.2372752323536</v>
      </c>
      <c r="AO94" s="304">
        <v>1365.5529668384568</v>
      </c>
      <c r="AP94" s="304">
        <v>8956.6215691424732</v>
      </c>
      <c r="AQ94" s="303">
        <v>1377.6187052199809</v>
      </c>
      <c r="AR94" s="303">
        <v>9583.6862574415245</v>
      </c>
      <c r="AS94" s="304">
        <v>1389.6844436015051</v>
      </c>
      <c r="AT94" s="304">
        <v>9631.688605731737</v>
      </c>
      <c r="AU94" s="303">
        <v>1401.7501819830293</v>
      </c>
      <c r="AV94" s="303">
        <v>9242.2996725057237</v>
      </c>
      <c r="AW94" s="304">
        <v>1413.8159203645534</v>
      </c>
      <c r="AX94" s="304">
        <v>8977.8050240021657</v>
      </c>
      <c r="AY94" s="303">
        <v>1426.8403416741507</v>
      </c>
      <c r="AZ94" s="303">
        <v>8714.3818774819847</v>
      </c>
      <c r="BA94" s="304">
        <v>1439.8647629837481</v>
      </c>
      <c r="BB94" s="304">
        <v>8595.468638635919</v>
      </c>
      <c r="BC94" s="303">
        <v>1452.8891842933454</v>
      </c>
      <c r="BD94" s="303">
        <v>8950.1114448500248</v>
      </c>
      <c r="BE94" s="304">
        <v>1465.9136056029427</v>
      </c>
      <c r="BF94" s="304">
        <v>9336.2825095502485</v>
      </c>
      <c r="BG94" s="303">
        <v>1467.68802691254</v>
      </c>
      <c r="BH94" s="303">
        <v>7806.1872679739281</v>
      </c>
      <c r="BI94" s="304">
        <v>1469.4624482221373</v>
      </c>
      <c r="BJ94" s="304">
        <v>8333.6331441333568</v>
      </c>
      <c r="BK94" s="303">
        <v>1471.2368695317346</v>
      </c>
      <c r="BL94" s="303">
        <v>8905.2528267136895</v>
      </c>
      <c r="BM94" s="304">
        <v>1473.0112908413319</v>
      </c>
      <c r="BN94" s="304">
        <v>9532.8637414883742</v>
      </c>
      <c r="BO94" s="303">
        <v>1475.1601950349</v>
      </c>
      <c r="BP94" s="303">
        <v>9090.847483920028</v>
      </c>
      <c r="BQ94" s="304">
        <v>1477.3090992284681</v>
      </c>
      <c r="BR94" s="304">
        <v>9172.0041867364416</v>
      </c>
      <c r="BS94" s="303">
        <v>1479.4580034220362</v>
      </c>
      <c r="BT94" s="303">
        <v>10412.349391965419</v>
      </c>
      <c r="BU94" s="304">
        <v>1481.6069076156043</v>
      </c>
      <c r="BV94" s="304">
        <v>12192.075687933107</v>
      </c>
      <c r="BW94" s="303">
        <v>1483.3790313008706</v>
      </c>
      <c r="BX94" s="303">
        <v>8563.3829095828951</v>
      </c>
      <c r="BY94" s="304">
        <v>1485.1511549861368</v>
      </c>
      <c r="BZ94" s="304">
        <v>7747.9725816996379</v>
      </c>
      <c r="CA94" s="303">
        <v>1486.9232786714031</v>
      </c>
      <c r="CB94" s="303">
        <v>8562.5481015177975</v>
      </c>
      <c r="CC94" s="304">
        <v>1488.6954023566693</v>
      </c>
      <c r="CD94" s="304">
        <v>8435.1396756670911</v>
      </c>
      <c r="CE94" s="303">
        <v>1496.8604488166698</v>
      </c>
      <c r="CF94" s="303">
        <v>8781.0377171446271</v>
      </c>
      <c r="CG94" s="304">
        <v>1508.2248125666697</v>
      </c>
      <c r="CH94" s="304">
        <v>8932.6183328203861</v>
      </c>
      <c r="CI94" s="303">
        <v>1517.3058309266696</v>
      </c>
      <c r="CJ94" s="303">
        <v>9074.5509745613708</v>
      </c>
      <c r="CK94" s="304">
        <v>1539.0218126366697</v>
      </c>
      <c r="CL94" s="304">
        <v>9152.4234217312624</v>
      </c>
      <c r="CM94" s="303">
        <v>1561.8349396172327</v>
      </c>
      <c r="CN94" s="303">
        <v>9820.3524222827364</v>
      </c>
      <c r="CO94" s="304">
        <v>1596.3666140811833</v>
      </c>
      <c r="CP94" s="304">
        <v>10892.666963720874</v>
      </c>
      <c r="CQ94" s="303">
        <v>1627.0142497531824</v>
      </c>
      <c r="CR94" s="303">
        <v>11013.965112777923</v>
      </c>
      <c r="CS94" s="304">
        <v>1645.0672215635391</v>
      </c>
      <c r="CT94" s="304">
        <v>10891.910081155387</v>
      </c>
      <c r="CU94" s="303">
        <v>1661.1655884203317</v>
      </c>
      <c r="CV94" s="303">
        <v>10937.46654727916</v>
      </c>
      <c r="CW94" s="304">
        <v>1684.3965756300386</v>
      </c>
      <c r="CX94" s="304">
        <v>11395.823729412294</v>
      </c>
      <c r="CY94" s="303">
        <v>1704.1641069637706</v>
      </c>
      <c r="CZ94" s="303">
        <v>12054.116824502697</v>
      </c>
      <c r="DA94" s="304">
        <v>1739.0722568182882</v>
      </c>
      <c r="DB94" s="304">
        <v>12181.935111700846</v>
      </c>
    </row>
    <row r="95" spans="2:106" ht="14.25" customHeight="1" x14ac:dyDescent="0.25">
      <c r="B95" s="443" t="s">
        <v>586</v>
      </c>
      <c r="C95" s="272"/>
      <c r="D95" s="272"/>
      <c r="E95" s="272"/>
      <c r="G95" s="303">
        <v>7993.3988205102196</v>
      </c>
      <c r="H95" s="303">
        <v>37102.901412625033</v>
      </c>
      <c r="I95" s="304">
        <v>8035.1319846657552</v>
      </c>
      <c r="J95" s="304">
        <v>39905.280304594722</v>
      </c>
      <c r="K95" s="303">
        <v>9007.1391288649829</v>
      </c>
      <c r="L95" s="303">
        <v>41736.449516669651</v>
      </c>
      <c r="M95" s="304">
        <v>10238.963482878551</v>
      </c>
      <c r="N95" s="304">
        <v>43365.90375877027</v>
      </c>
      <c r="O95" s="303">
        <v>9860.1428149134026</v>
      </c>
      <c r="P95" s="303">
        <v>42978.250862653549</v>
      </c>
      <c r="Q95" s="304">
        <v>9689.4624500936061</v>
      </c>
      <c r="R95" s="304">
        <v>42914.072591414973</v>
      </c>
      <c r="S95" s="303">
        <v>8212.3014146139285</v>
      </c>
      <c r="T95" s="303">
        <v>42216.668462416834</v>
      </c>
      <c r="U95" s="304">
        <v>8903.1001018883344</v>
      </c>
      <c r="V95" s="304">
        <v>43645.613027517094</v>
      </c>
      <c r="W95" s="303">
        <v>8187.8908142593828</v>
      </c>
      <c r="X95" s="303">
        <v>43441.779603178104</v>
      </c>
      <c r="Y95" s="304">
        <v>9160.5058961593295</v>
      </c>
      <c r="Z95" s="304">
        <v>44839.395206478919</v>
      </c>
      <c r="AA95" s="303">
        <v>8020.8243744001811</v>
      </c>
      <c r="AB95" s="303">
        <v>44789.833224123737</v>
      </c>
      <c r="AC95" s="304">
        <v>7028.3755328402895</v>
      </c>
      <c r="AD95" s="304">
        <v>45005.609640946655</v>
      </c>
      <c r="AE95" s="303">
        <v>8771.6689882069677</v>
      </c>
      <c r="AF95" s="303">
        <v>47501.668092843036</v>
      </c>
      <c r="AG95" s="304">
        <v>8221.6410396249903</v>
      </c>
      <c r="AH95" s="304">
        <v>46417.976674775324</v>
      </c>
      <c r="AI95" s="305">
        <v>7076.0498437444076</v>
      </c>
      <c r="AJ95" s="305">
        <v>46219.708743741103</v>
      </c>
      <c r="AK95" s="304">
        <v>9093.7167410830061</v>
      </c>
      <c r="AL95" s="304">
        <v>48810.851518997668</v>
      </c>
      <c r="AM95" s="303">
        <v>9582.2372930311194</v>
      </c>
      <c r="AN95" s="303">
        <v>49464.924646935149</v>
      </c>
      <c r="AO95" s="304">
        <v>10410.320163812004</v>
      </c>
      <c r="AP95" s="304">
        <v>51603.941754861218</v>
      </c>
      <c r="AQ95" s="303">
        <v>9635.0335093256472</v>
      </c>
      <c r="AR95" s="303">
        <v>51750.828315818631</v>
      </c>
      <c r="AS95" s="304">
        <v>11521.241598645986</v>
      </c>
      <c r="AT95" s="304">
        <v>53295.67759273362</v>
      </c>
      <c r="AU95" s="303">
        <v>9928.3252319403546</v>
      </c>
      <c r="AV95" s="303">
        <v>52681.479108322004</v>
      </c>
      <c r="AW95" s="304">
        <v>9864.8013219052555</v>
      </c>
      <c r="AX95" s="304">
        <v>52411.810376739733</v>
      </c>
      <c r="AY95" s="303">
        <v>10788.768026454323</v>
      </c>
      <c r="AZ95" s="303">
        <v>54473.206033138136</v>
      </c>
      <c r="BA95" s="304">
        <v>11711.054135474305</v>
      </c>
      <c r="BB95" s="304">
        <v>55624.075489066097</v>
      </c>
      <c r="BC95" s="303">
        <v>10548.936606691455</v>
      </c>
      <c r="BD95" s="303">
        <v>55322.030693518289</v>
      </c>
      <c r="BE95" s="304">
        <v>10564.58373430147</v>
      </c>
      <c r="BF95" s="304">
        <v>54811.496415351008</v>
      </c>
      <c r="BG95" s="303">
        <v>11406.391821735639</v>
      </c>
      <c r="BH95" s="303">
        <v>49791.305405744446</v>
      </c>
      <c r="BI95" s="304">
        <v>10132.219300000079</v>
      </c>
      <c r="BJ95" s="304">
        <v>49953.765180165559</v>
      </c>
      <c r="BK95" s="303">
        <v>9748.8599172004815</v>
      </c>
      <c r="BL95" s="303">
        <v>50449.479540612308</v>
      </c>
      <c r="BM95" s="304">
        <v>9000.8481762261399</v>
      </c>
      <c r="BN95" s="304">
        <v>49041.250436904578</v>
      </c>
      <c r="BO95" s="303">
        <v>7099.4789196358215</v>
      </c>
      <c r="BP95" s="303">
        <v>49682.206379759133</v>
      </c>
      <c r="BQ95" s="304">
        <v>7463.5994763363624</v>
      </c>
      <c r="BR95" s="304">
        <v>51238.723704864642</v>
      </c>
      <c r="BS95" s="303">
        <v>6854.0101852772195</v>
      </c>
      <c r="BT95" s="303">
        <v>52008.835312562878</v>
      </c>
      <c r="BU95" s="304">
        <v>7100.560545388541</v>
      </c>
      <c r="BV95" s="304">
        <v>51775.148729136978</v>
      </c>
      <c r="BW95" s="303">
        <v>6560.3755614110269</v>
      </c>
      <c r="BX95" s="303">
        <v>51222.200770791424</v>
      </c>
      <c r="BY95" s="304">
        <v>6804.0274686899265</v>
      </c>
      <c r="BZ95" s="304">
        <v>49534.076199925781</v>
      </c>
      <c r="CA95" s="303">
        <v>7345.6235073117596</v>
      </c>
      <c r="CB95" s="303">
        <v>48836.237622754015</v>
      </c>
      <c r="CC95" s="304">
        <v>7313.6460891691158</v>
      </c>
      <c r="CD95" s="304">
        <v>49666.860933456235</v>
      </c>
      <c r="CE95" s="303">
        <v>8248.3511958545623</v>
      </c>
      <c r="CF95" s="303">
        <v>51072.921815770154</v>
      </c>
      <c r="CG95" s="304">
        <v>9390.6570729953255</v>
      </c>
      <c r="CH95" s="304">
        <v>52575.307500770657</v>
      </c>
      <c r="CI95" s="303">
        <v>10166.750313862027</v>
      </c>
      <c r="CJ95" s="303">
        <v>52735.663174526555</v>
      </c>
      <c r="CK95" s="304">
        <v>10954.248777958077</v>
      </c>
      <c r="CL95" s="304">
        <v>54257.157812501682</v>
      </c>
      <c r="CM95" s="303">
        <v>11580.523131524129</v>
      </c>
      <c r="CN95" s="303">
        <v>54787.791846859545</v>
      </c>
      <c r="CO95" s="304">
        <v>12438.279557250575</v>
      </c>
      <c r="CP95" s="304">
        <v>54713.229039070815</v>
      </c>
      <c r="CQ95" s="303">
        <v>12972.673895177853</v>
      </c>
      <c r="CR95" s="303">
        <v>55253.860325716116</v>
      </c>
      <c r="CS95" s="304">
        <v>12856.807712571681</v>
      </c>
      <c r="CT95" s="304">
        <v>55214.863959037546</v>
      </c>
      <c r="CU95" s="303">
        <v>14085.070907550104</v>
      </c>
      <c r="CV95" s="303">
        <v>53760.468961688966</v>
      </c>
      <c r="CW95" s="304">
        <v>13548.664933308883</v>
      </c>
      <c r="CX95" s="304">
        <v>53447.294990394112</v>
      </c>
      <c r="CY95" s="303">
        <v>13533.001496117109</v>
      </c>
      <c r="CZ95" s="303">
        <v>53748.406876988571</v>
      </c>
      <c r="DA95" s="304">
        <v>14245.160054131546</v>
      </c>
      <c r="DB95" s="304">
        <v>54806.792624465525</v>
      </c>
    </row>
    <row r="96" spans="2:106" ht="14.25" customHeight="1" x14ac:dyDescent="0.25">
      <c r="B96" s="443" t="s">
        <v>754</v>
      </c>
      <c r="C96" s="272"/>
      <c r="D96" s="272"/>
      <c r="E96" s="272"/>
      <c r="G96" s="303">
        <v>3.8685050738906956</v>
      </c>
      <c r="H96" s="303">
        <v>607.79069980552003</v>
      </c>
      <c r="I96" s="304">
        <v>15.546978108565966</v>
      </c>
      <c r="J96" s="304">
        <v>608.9947441292361</v>
      </c>
      <c r="K96" s="303">
        <v>8.4785703709852474</v>
      </c>
      <c r="L96" s="303">
        <v>610.47580174536279</v>
      </c>
      <c r="M96" s="304">
        <v>8.8996722034033819</v>
      </c>
      <c r="N96" s="304">
        <v>611.34025527811582</v>
      </c>
      <c r="O96" s="303">
        <v>8.9473542202755407</v>
      </c>
      <c r="P96" s="303">
        <v>586.30444859861927</v>
      </c>
      <c r="Q96" s="304">
        <v>9.158906440846545</v>
      </c>
      <c r="R96" s="304">
        <v>572.94512533505895</v>
      </c>
      <c r="S96" s="303">
        <v>8.8452825333043545</v>
      </c>
      <c r="T96" s="303">
        <v>545.53571758472538</v>
      </c>
      <c r="U96" s="304">
        <v>11.815671204546994</v>
      </c>
      <c r="V96" s="304">
        <v>556.17322240246824</v>
      </c>
      <c r="W96" s="303">
        <v>9.102135122972653</v>
      </c>
      <c r="X96" s="303">
        <v>555.12299235330136</v>
      </c>
      <c r="Y96" s="304">
        <v>6.7374927073967381</v>
      </c>
      <c r="Z96" s="304">
        <v>547.99983329424845</v>
      </c>
      <c r="AA96" s="303">
        <v>6.9612336761689075</v>
      </c>
      <c r="AB96" s="303">
        <v>557.13170328126478</v>
      </c>
      <c r="AC96" s="304">
        <v>4.1138600779365966</v>
      </c>
      <c r="AD96" s="304">
        <v>553.18688864366254</v>
      </c>
      <c r="AE96" s="303">
        <v>4.086190508570394</v>
      </c>
      <c r="AF96" s="303">
        <v>551.98922096269905</v>
      </c>
      <c r="AG96" s="304">
        <v>2.0267083234671293</v>
      </c>
      <c r="AH96" s="304">
        <v>531.62998494316423</v>
      </c>
      <c r="AI96" s="305">
        <v>0.15509610274314897</v>
      </c>
      <c r="AJ96" s="305">
        <v>536.57971792799833</v>
      </c>
      <c r="AK96" s="304">
        <v>0.26437288257937874</v>
      </c>
      <c r="AL96" s="304">
        <v>550.23865754642702</v>
      </c>
      <c r="AM96" s="303">
        <v>2.3156411659615155</v>
      </c>
      <c r="AN96" s="303">
        <v>558.90177195199431</v>
      </c>
      <c r="AO96" s="304">
        <v>4.4612552258647122</v>
      </c>
      <c r="AP96" s="304">
        <v>563.18905525581135</v>
      </c>
      <c r="AQ96" s="303">
        <v>0.57475391917854179</v>
      </c>
      <c r="AR96" s="303">
        <v>574.867258182</v>
      </c>
      <c r="AS96" s="304">
        <v>6.2424330849466916</v>
      </c>
      <c r="AT96" s="304">
        <v>556.24394168974618</v>
      </c>
      <c r="AU96" s="303">
        <v>0.52683424957235425</v>
      </c>
      <c r="AV96" s="303">
        <v>551.76646446330403</v>
      </c>
      <c r="AW96" s="304">
        <v>1.244212349182046</v>
      </c>
      <c r="AX96" s="304">
        <v>550.00209990274004</v>
      </c>
      <c r="AY96" s="303">
        <v>0.42278229419610514</v>
      </c>
      <c r="AZ96" s="303">
        <v>548.99763097949995</v>
      </c>
      <c r="BA96" s="304">
        <v>7.3530923124014382</v>
      </c>
      <c r="BB96" s="304">
        <v>549.77273298326008</v>
      </c>
      <c r="BC96" s="303">
        <v>7.2916543227243897</v>
      </c>
      <c r="BD96" s="303">
        <v>539.13485344185995</v>
      </c>
      <c r="BE96" s="304">
        <v>7.3240043404767334</v>
      </c>
      <c r="BF96" s="304">
        <v>546.8541403855744</v>
      </c>
      <c r="BG96" s="303">
        <v>0.50036887248433726</v>
      </c>
      <c r="BH96" s="303">
        <v>539.72408914879998</v>
      </c>
      <c r="BI96" s="304">
        <v>2.6457379394990546</v>
      </c>
      <c r="BJ96" s="304">
        <v>544.03460539419996</v>
      </c>
      <c r="BK96" s="303">
        <v>2.6534402492217675</v>
      </c>
      <c r="BL96" s="303">
        <v>556.63792215941999</v>
      </c>
      <c r="BM96" s="304">
        <v>2.6035060284068581</v>
      </c>
      <c r="BN96" s="304">
        <v>569.56947089561982</v>
      </c>
      <c r="BO96" s="303">
        <v>2.7284500040483897</v>
      </c>
      <c r="BP96" s="303">
        <v>560.45015854525991</v>
      </c>
      <c r="BQ96" s="304">
        <v>8.6432350910913058</v>
      </c>
      <c r="BR96" s="304">
        <v>564.09234704252003</v>
      </c>
      <c r="BS96" s="303">
        <v>127.93849662547859</v>
      </c>
      <c r="BT96" s="303">
        <v>1338.7279629582501</v>
      </c>
      <c r="BU96" s="304">
        <v>123.55832378048095</v>
      </c>
      <c r="BV96" s="304">
        <v>1329.90997727025</v>
      </c>
      <c r="BW96" s="303">
        <v>118.47716629097258</v>
      </c>
      <c r="BX96" s="303">
        <v>1313.57579904</v>
      </c>
      <c r="BY96" s="304">
        <v>16.463361118497371</v>
      </c>
      <c r="BZ96" s="304">
        <v>1271.9333503098928</v>
      </c>
      <c r="CA96" s="303">
        <v>8.3350559324759317</v>
      </c>
      <c r="CB96" s="303">
        <v>1216.159862323</v>
      </c>
      <c r="CC96" s="304">
        <v>1.8062851357314544</v>
      </c>
      <c r="CD96" s="304">
        <v>1264.5827664890001</v>
      </c>
      <c r="CE96" s="303">
        <v>28.414852056179377</v>
      </c>
      <c r="CF96" s="303">
        <v>1278.2563455892498</v>
      </c>
      <c r="CG96" s="304">
        <v>4.3815112754361554</v>
      </c>
      <c r="CH96" s="304">
        <v>1263.8511017282501</v>
      </c>
      <c r="CI96" s="303">
        <v>4.5052753342935441</v>
      </c>
      <c r="CJ96" s="303">
        <v>1245.9632656344136</v>
      </c>
      <c r="CK96" s="304">
        <v>33.670186729066188</v>
      </c>
      <c r="CL96" s="304">
        <v>1284.821744365164</v>
      </c>
      <c r="CM96" s="303">
        <v>0.62983469815972337</v>
      </c>
      <c r="CN96" s="303">
        <v>1257.5410685482821</v>
      </c>
      <c r="CO96" s="304">
        <v>0.31816890967368899</v>
      </c>
      <c r="CP96" s="304">
        <v>1249.8544498765</v>
      </c>
      <c r="CQ96" s="303">
        <v>0.24489124890046432</v>
      </c>
      <c r="CR96" s="303">
        <v>1288.84172927075</v>
      </c>
      <c r="CS96" s="304">
        <v>3.1567314352614502</v>
      </c>
      <c r="CT96" s="304">
        <v>1239.20255121675</v>
      </c>
      <c r="CU96" s="303">
        <v>3.4706241932884425</v>
      </c>
      <c r="CV96" s="303">
        <v>1259.6416538190001</v>
      </c>
      <c r="CW96" s="304">
        <v>2.3873579777668592</v>
      </c>
      <c r="CX96" s="304">
        <v>1305.5940016500001</v>
      </c>
      <c r="CY96" s="303">
        <v>0.95015761510143104</v>
      </c>
      <c r="CZ96" s="303">
        <v>1302.7148533057502</v>
      </c>
      <c r="DA96" s="304">
        <v>1.0508255687097081</v>
      </c>
      <c r="DB96" s="304">
        <v>1301.3180387625</v>
      </c>
    </row>
    <row r="97" spans="2:106" ht="14.25" customHeight="1" x14ac:dyDescent="0.25">
      <c r="B97" s="443" t="s">
        <v>755</v>
      </c>
      <c r="C97" s="272"/>
      <c r="D97" s="272"/>
      <c r="E97" s="272"/>
      <c r="G97" s="303">
        <v>2826.515538221453</v>
      </c>
      <c r="H97" s="303">
        <v>1778.3219080622803</v>
      </c>
      <c r="I97" s="304">
        <v>3664.9976971223364</v>
      </c>
      <c r="J97" s="304">
        <v>1886.0352557942101</v>
      </c>
      <c r="K97" s="303">
        <v>4015.6635076249208</v>
      </c>
      <c r="L97" s="303">
        <v>1712.6253031177275</v>
      </c>
      <c r="M97" s="304">
        <v>4661.1861499010165</v>
      </c>
      <c r="N97" s="304">
        <v>1749.4851282214661</v>
      </c>
      <c r="O97" s="303">
        <v>4617.9793280996237</v>
      </c>
      <c r="P97" s="303">
        <v>1625.1060207626847</v>
      </c>
      <c r="Q97" s="304">
        <v>4422.7044953063969</v>
      </c>
      <c r="R97" s="304">
        <v>1593.7904582431283</v>
      </c>
      <c r="S97" s="303">
        <v>3308.5099559168793</v>
      </c>
      <c r="T97" s="303">
        <v>1581.6184916629659</v>
      </c>
      <c r="U97" s="304">
        <v>3636.8557532633426</v>
      </c>
      <c r="V97" s="304">
        <v>1993.9751315963977</v>
      </c>
      <c r="W97" s="303">
        <v>3847.136887477764</v>
      </c>
      <c r="X97" s="303">
        <v>3088.5673584491674</v>
      </c>
      <c r="Y97" s="304">
        <v>4678.7012786798659</v>
      </c>
      <c r="Z97" s="304">
        <v>3050.7754168208448</v>
      </c>
      <c r="AA97" s="303">
        <v>3704.5547690523736</v>
      </c>
      <c r="AB97" s="303">
        <v>2696.9009041248132</v>
      </c>
      <c r="AC97" s="304">
        <v>2977.4532136120388</v>
      </c>
      <c r="AD97" s="304">
        <v>2069.925459467172</v>
      </c>
      <c r="AE97" s="303">
        <v>4211.2793239019375</v>
      </c>
      <c r="AF97" s="303">
        <v>2322.3452766091941</v>
      </c>
      <c r="AG97" s="304">
        <v>3414.1222665010296</v>
      </c>
      <c r="AH97" s="304">
        <v>2441.5742994426669</v>
      </c>
      <c r="AI97" s="305">
        <v>2655.8351563205929</v>
      </c>
      <c r="AJ97" s="305">
        <v>1836.8706728861994</v>
      </c>
      <c r="AK97" s="304">
        <v>4532.5068358661501</v>
      </c>
      <c r="AL97" s="304">
        <v>1860.6080484946342</v>
      </c>
      <c r="AM97" s="303">
        <v>3639.052333720656</v>
      </c>
      <c r="AN97" s="303">
        <v>1774.3481753162471</v>
      </c>
      <c r="AO97" s="304">
        <v>3889.6371696161459</v>
      </c>
      <c r="AP97" s="304">
        <v>2213.2156051224611</v>
      </c>
      <c r="AQ97" s="303">
        <v>2230.1334965196779</v>
      </c>
      <c r="AR97" s="303">
        <v>2385.3025103921827</v>
      </c>
      <c r="AS97" s="304">
        <v>4109.4687328167611</v>
      </c>
      <c r="AT97" s="304">
        <v>1884.8675536079427</v>
      </c>
      <c r="AU97" s="303">
        <v>2702.0280687406862</v>
      </c>
      <c r="AV97" s="303">
        <v>1982.6538042284024</v>
      </c>
      <c r="AW97" s="304">
        <v>2956.2760421024227</v>
      </c>
      <c r="AX97" s="304">
        <v>1580.7855502622745</v>
      </c>
      <c r="AY97" s="303">
        <v>4041.5954468850969</v>
      </c>
      <c r="AZ97" s="303">
        <v>1761.8381865787937</v>
      </c>
      <c r="BA97" s="304">
        <v>5154.141421929623</v>
      </c>
      <c r="BB97" s="304">
        <v>1393.3163352393481</v>
      </c>
      <c r="BC97" s="303">
        <v>3669.8271873125495</v>
      </c>
      <c r="BD97" s="303">
        <v>1712.6322264662888</v>
      </c>
      <c r="BE97" s="304">
        <v>3224.6635955795477</v>
      </c>
      <c r="BF97" s="304">
        <v>1748.2714144223135</v>
      </c>
      <c r="BG97" s="303">
        <v>3242.1921007324745</v>
      </c>
      <c r="BH97" s="303">
        <v>1553.6237720225147</v>
      </c>
      <c r="BI97" s="304">
        <v>2670.7269783910324</v>
      </c>
      <c r="BJ97" s="304">
        <v>1112.2620573711642</v>
      </c>
      <c r="BK97" s="303">
        <v>3558.4104298833031</v>
      </c>
      <c r="BL97" s="303">
        <v>1488.6719033063441</v>
      </c>
      <c r="BM97" s="304">
        <v>3114.6531507821182</v>
      </c>
      <c r="BN97" s="304">
        <v>1733.5029358352886</v>
      </c>
      <c r="BO97" s="303">
        <v>2199.4947513601205</v>
      </c>
      <c r="BP97" s="303">
        <v>1456.4717759972546</v>
      </c>
      <c r="BQ97" s="304">
        <v>3838.0731516882847</v>
      </c>
      <c r="BR97" s="304">
        <v>1556.1680434101568</v>
      </c>
      <c r="BS97" s="303">
        <v>3070.3145669783503</v>
      </c>
      <c r="BT97" s="303">
        <v>3234.6814830905087</v>
      </c>
      <c r="BU97" s="304">
        <v>3938.0195658506518</v>
      </c>
      <c r="BV97" s="304">
        <v>5749.0178959848918</v>
      </c>
      <c r="BW97" s="303">
        <v>3112.1197225400392</v>
      </c>
      <c r="BX97" s="303">
        <v>6375.3026471809808</v>
      </c>
      <c r="BY97" s="304">
        <v>3409.395315753196</v>
      </c>
      <c r="BZ97" s="304">
        <v>6101.3974957226364</v>
      </c>
      <c r="CA97" s="303">
        <v>3451.7193856058957</v>
      </c>
      <c r="CB97" s="303">
        <v>6392.1172106477097</v>
      </c>
      <c r="CC97" s="304">
        <v>3493.8621029924375</v>
      </c>
      <c r="CD97" s="304">
        <v>5880.0150350755275</v>
      </c>
      <c r="CE97" s="303">
        <v>4041.2132168268104</v>
      </c>
      <c r="CF97" s="303">
        <v>5525.1408727574881</v>
      </c>
      <c r="CG97" s="304">
        <v>5062.200346214232</v>
      </c>
      <c r="CH97" s="304">
        <v>5785.416513450803</v>
      </c>
      <c r="CI97" s="303">
        <v>5227.4684369822971</v>
      </c>
      <c r="CJ97" s="303">
        <v>5806.6746180878317</v>
      </c>
      <c r="CK97" s="304">
        <v>5407.2129606900917</v>
      </c>
      <c r="CL97" s="304">
        <v>7941.2123586495563</v>
      </c>
      <c r="CM97" s="303">
        <v>5849.9067661336594</v>
      </c>
      <c r="CN97" s="303">
        <v>7824.2037272910011</v>
      </c>
      <c r="CO97" s="304">
        <v>5781.1637458834421</v>
      </c>
      <c r="CP97" s="304">
        <v>7644.1309757480003</v>
      </c>
      <c r="CQ97" s="303">
        <v>5257.2815622243652</v>
      </c>
      <c r="CR97" s="303">
        <v>7606.3429349745602</v>
      </c>
      <c r="CS97" s="304">
        <v>5477.8498247209436</v>
      </c>
      <c r="CT97" s="304">
        <v>7051.0243872641595</v>
      </c>
      <c r="CU97" s="303">
        <v>7014.7317722622511</v>
      </c>
      <c r="CV97" s="303">
        <v>7176.5397172142721</v>
      </c>
      <c r="CW97" s="304">
        <v>4572.1212539911121</v>
      </c>
      <c r="CX97" s="304">
        <v>6835.6853353117021</v>
      </c>
      <c r="CY97" s="303">
        <v>4720.7945687325446</v>
      </c>
      <c r="CZ97" s="303">
        <v>6575.0795333325659</v>
      </c>
      <c r="DA97" s="304">
        <v>4941.9393607257334</v>
      </c>
      <c r="DB97" s="304">
        <v>6556.2544333870137</v>
      </c>
    </row>
    <row r="98" spans="2:106" ht="14.25" customHeight="1" x14ac:dyDescent="0.25">
      <c r="B98" s="443" t="s">
        <v>756</v>
      </c>
      <c r="C98" s="272"/>
      <c r="D98" s="272"/>
      <c r="E98" s="272"/>
      <c r="G98" s="303">
        <v>4289.8317725981597</v>
      </c>
      <c r="H98" s="303">
        <v>7054.5896641169784</v>
      </c>
      <c r="I98" s="304">
        <v>3213.749361987871</v>
      </c>
      <c r="J98" s="304">
        <v>8429.3277241586857</v>
      </c>
      <c r="K98" s="303">
        <v>3570.4032415369693</v>
      </c>
      <c r="L98" s="303">
        <v>9850.213887642607</v>
      </c>
      <c r="M98" s="304">
        <v>3964.967850148118</v>
      </c>
      <c r="N98" s="304">
        <v>10808.423234294589</v>
      </c>
      <c r="O98" s="303">
        <v>3643.5418744718718</v>
      </c>
      <c r="P98" s="303">
        <v>10941.638674045333</v>
      </c>
      <c r="Q98" s="304">
        <v>3442.2459620171453</v>
      </c>
      <c r="R98" s="304">
        <v>10794.944931366317</v>
      </c>
      <c r="S98" s="303">
        <v>3196.6149627163277</v>
      </c>
      <c r="T98" s="303">
        <v>10111.141334168609</v>
      </c>
      <c r="U98" s="304">
        <v>3531.546829027674</v>
      </c>
      <c r="V98" s="304">
        <v>10775.491625882793</v>
      </c>
      <c r="W98" s="303">
        <v>2628.105955932198</v>
      </c>
      <c r="X98" s="303">
        <v>9882.3428040402105</v>
      </c>
      <c r="Y98" s="304">
        <v>2559.1103388048782</v>
      </c>
      <c r="Z98" s="304">
        <v>10838.8022929213</v>
      </c>
      <c r="AA98" s="303">
        <v>2220.1609973743571</v>
      </c>
      <c r="AB98" s="303">
        <v>10510.244253062214</v>
      </c>
      <c r="AC98" s="304">
        <v>1935.5696118176936</v>
      </c>
      <c r="AD98" s="304">
        <v>10705.932293178668</v>
      </c>
      <c r="AE98" s="303">
        <v>2119.7229329870115</v>
      </c>
      <c r="AF98" s="303">
        <v>13006.638695766971</v>
      </c>
      <c r="AG98" s="304">
        <v>2478.3675389778368</v>
      </c>
      <c r="AH98" s="304">
        <v>12264.535109555985</v>
      </c>
      <c r="AI98" s="305">
        <v>2224.8047575491942</v>
      </c>
      <c r="AJ98" s="305">
        <v>12147.433674858179</v>
      </c>
      <c r="AK98" s="304">
        <v>2154.8226811560812</v>
      </c>
      <c r="AL98" s="304">
        <v>13350.479730209507</v>
      </c>
      <c r="AM98" s="303">
        <v>3290.0628931654364</v>
      </c>
      <c r="AN98" s="303">
        <v>14078.555184294233</v>
      </c>
      <c r="AO98" s="304">
        <v>3920.6663117539065</v>
      </c>
      <c r="AP98" s="304">
        <v>14086.659090004126</v>
      </c>
      <c r="AQ98" s="303">
        <v>4752.6263784466873</v>
      </c>
      <c r="AR98" s="303">
        <v>13730.81988708421</v>
      </c>
      <c r="AS98" s="304">
        <v>4778.6344584965655</v>
      </c>
      <c r="AT98" s="304">
        <v>15020.384708371865</v>
      </c>
      <c r="AU98" s="303">
        <v>4514.0337485793398</v>
      </c>
      <c r="AV98" s="303">
        <v>14088.025357182856</v>
      </c>
      <c r="AW98" s="304">
        <v>4006.4030300828945</v>
      </c>
      <c r="AX98" s="304">
        <v>12804.611144076425</v>
      </c>
      <c r="AY98" s="303">
        <v>3776.1041551873677</v>
      </c>
      <c r="AZ98" s="303">
        <v>15158.105367794929</v>
      </c>
      <c r="BA98" s="304">
        <v>3707.84832374403</v>
      </c>
      <c r="BB98" s="304">
        <v>16421.72563057964</v>
      </c>
      <c r="BC98" s="303">
        <v>3861.9897958516876</v>
      </c>
      <c r="BD98" s="303">
        <v>15945.349531413272</v>
      </c>
      <c r="BE98" s="304">
        <v>4226.6158712679562</v>
      </c>
      <c r="BF98" s="304">
        <v>14805.780663281586</v>
      </c>
      <c r="BG98" s="303">
        <v>4808.563286158238</v>
      </c>
      <c r="BH98" s="303">
        <v>8872.6973021317735</v>
      </c>
      <c r="BI98" s="304">
        <v>4430.2697435936207</v>
      </c>
      <c r="BJ98" s="304">
        <v>10098.219975749122</v>
      </c>
      <c r="BK98" s="303">
        <v>3384.9168048524707</v>
      </c>
      <c r="BL98" s="303">
        <v>10107.668585070989</v>
      </c>
      <c r="BM98" s="304">
        <v>2973.6527042081943</v>
      </c>
      <c r="BN98" s="304">
        <v>7711.8777966945827</v>
      </c>
      <c r="BO98" s="303">
        <v>2016.2341713868429</v>
      </c>
      <c r="BP98" s="303">
        <v>8274.3349257438404</v>
      </c>
      <c r="BQ98" s="304">
        <v>615.90440789061347</v>
      </c>
      <c r="BR98" s="304">
        <v>8792.2262852446311</v>
      </c>
      <c r="BS98" s="303">
        <v>365.35914495113747</v>
      </c>
      <c r="BT98" s="303">
        <v>7564.6320122881525</v>
      </c>
      <c r="BU98" s="304">
        <v>44.063769512677005</v>
      </c>
      <c r="BV98" s="304">
        <v>6360.2266495796039</v>
      </c>
      <c r="BW98" s="303">
        <v>42.150916907926423</v>
      </c>
      <c r="BX98" s="303">
        <v>5520.7939491699408</v>
      </c>
      <c r="BY98" s="304">
        <v>30.849565160657136</v>
      </c>
      <c r="BZ98" s="304">
        <v>3921.7798618647075</v>
      </c>
      <c r="CA98" s="303">
        <v>29.785142490052362</v>
      </c>
      <c r="CB98" s="303">
        <v>3366.5106104766751</v>
      </c>
      <c r="CC98" s="304">
        <v>29.997117410701989</v>
      </c>
      <c r="CD98" s="304">
        <v>4034.5610726403261</v>
      </c>
      <c r="CE98" s="303">
        <v>30.566188864469176</v>
      </c>
      <c r="CF98" s="303">
        <v>5002.0479904067088</v>
      </c>
      <c r="CG98" s="304">
        <v>89.762992858919148</v>
      </c>
      <c r="CH98" s="304">
        <v>6481.8806560850771</v>
      </c>
      <c r="CI98" s="303">
        <v>279.19930510377941</v>
      </c>
      <c r="CJ98" s="303">
        <v>6792.84591860817</v>
      </c>
      <c r="CK98" s="304">
        <v>863.19122401265986</v>
      </c>
      <c r="CL98" s="304">
        <v>7260.2804967529346</v>
      </c>
      <c r="CM98" s="303">
        <v>1085.2640168912528</v>
      </c>
      <c r="CN98" s="303">
        <v>8294.6570793781739</v>
      </c>
      <c r="CO98" s="304">
        <v>1845.2274317601359</v>
      </c>
      <c r="CP98" s="304">
        <v>8322.5056002119254</v>
      </c>
      <c r="CQ98" s="303">
        <v>2715.3536178668573</v>
      </c>
      <c r="CR98" s="303">
        <v>8149.628229496434</v>
      </c>
      <c r="CS98" s="304">
        <v>2651.7946417244248</v>
      </c>
      <c r="CT98" s="304">
        <v>9695.448642958685</v>
      </c>
      <c r="CU98" s="303">
        <v>1895.224331834112</v>
      </c>
      <c r="CV98" s="303">
        <v>7599.1420670915277</v>
      </c>
      <c r="CW98" s="304">
        <v>3480.87240558344</v>
      </c>
      <c r="CX98" s="304">
        <v>7479.9228722460739</v>
      </c>
      <c r="CY98" s="303">
        <v>2990.5144885281275</v>
      </c>
      <c r="CZ98" s="303">
        <v>8013.196078413579</v>
      </c>
      <c r="DA98" s="304">
        <v>3226.5913582684752</v>
      </c>
      <c r="DB98" s="304">
        <v>8181.1356338628166</v>
      </c>
    </row>
    <row r="99" spans="2:106" ht="14.25" customHeight="1" x14ac:dyDescent="0.25">
      <c r="B99" s="443" t="s">
        <v>757</v>
      </c>
      <c r="C99" s="272"/>
      <c r="D99" s="272"/>
      <c r="E99" s="272"/>
      <c r="G99" s="303">
        <v>237.75484661671604</v>
      </c>
      <c r="H99" s="303">
        <v>27434.503538206172</v>
      </c>
      <c r="I99" s="304">
        <v>463.19383985480431</v>
      </c>
      <c r="J99" s="304">
        <v>28695.640000579435</v>
      </c>
      <c r="K99" s="303">
        <v>542.91709914210651</v>
      </c>
      <c r="L99" s="303">
        <v>29389.36754874395</v>
      </c>
      <c r="M99" s="304">
        <v>641.39662968760763</v>
      </c>
      <c r="N99" s="304">
        <v>29857.294737626104</v>
      </c>
      <c r="O99" s="303">
        <v>738.61339858800977</v>
      </c>
      <c r="P99" s="303">
        <v>29598.055229836944</v>
      </c>
      <c r="Q99" s="304">
        <v>823.43405781613103</v>
      </c>
      <c r="R99" s="304">
        <v>29515.681540676873</v>
      </c>
      <c r="S99" s="303">
        <v>597.52007725479132</v>
      </c>
      <c r="T99" s="303">
        <v>29734.614291777056</v>
      </c>
      <c r="U99" s="304">
        <v>626.79059932770008</v>
      </c>
      <c r="V99" s="304">
        <v>29896.256145406565</v>
      </c>
      <c r="W99" s="303">
        <v>645.90299603189987</v>
      </c>
      <c r="X99" s="303">
        <v>29684.446525295349</v>
      </c>
      <c r="Y99" s="304">
        <v>679.54031892480339</v>
      </c>
      <c r="Z99" s="304">
        <v>29923.639411212545</v>
      </c>
      <c r="AA99" s="303">
        <v>792.17795108671839</v>
      </c>
      <c r="AB99" s="303">
        <v>30775.309395365384</v>
      </c>
      <c r="AC99" s="304">
        <v>746.56428861262009</v>
      </c>
      <c r="AD99" s="304">
        <v>31232.027941197117</v>
      </c>
      <c r="AE99" s="303">
        <v>746.15534645944842</v>
      </c>
      <c r="AF99" s="303">
        <v>31345.073227584253</v>
      </c>
      <c r="AG99" s="304">
        <v>711.75899997265651</v>
      </c>
      <c r="AH99" s="304">
        <v>30647.102333543517</v>
      </c>
      <c r="AI99" s="305">
        <v>977.73569494187689</v>
      </c>
      <c r="AJ99" s="305">
        <v>31403.054252960283</v>
      </c>
      <c r="AK99" s="304">
        <v>991.76687918819516</v>
      </c>
      <c r="AL99" s="304">
        <v>32566.808748527113</v>
      </c>
      <c r="AM99" s="303">
        <v>1013.3523773450664</v>
      </c>
      <c r="AN99" s="303">
        <v>32839.13050568269</v>
      </c>
      <c r="AO99" s="304">
        <v>1011.257339496087</v>
      </c>
      <c r="AP99" s="304">
        <v>34146.404295188826</v>
      </c>
      <c r="AQ99" s="303">
        <v>1048.3930768201024</v>
      </c>
      <c r="AR99" s="303">
        <v>34808.670611090245</v>
      </c>
      <c r="AS99" s="304">
        <v>1111.691324467713</v>
      </c>
      <c r="AT99" s="304">
        <v>35319.520495504039</v>
      </c>
      <c r="AU99" s="303">
        <v>1163.3957464307564</v>
      </c>
      <c r="AV99" s="303">
        <v>35840.962876737445</v>
      </c>
      <c r="AW99" s="304">
        <v>1200.8324582807561</v>
      </c>
      <c r="AX99" s="304">
        <v>37044.32771506827</v>
      </c>
      <c r="AY99" s="303">
        <v>1207.770178457663</v>
      </c>
      <c r="AZ99" s="303">
        <v>36775.304837134885</v>
      </c>
      <c r="BA99" s="304">
        <v>1203.3625047982507</v>
      </c>
      <c r="BB99" s="304">
        <v>36875.625618933846</v>
      </c>
      <c r="BC99" s="303">
        <v>1210.2182679744947</v>
      </c>
      <c r="BD99" s="303">
        <v>36910.203278016845</v>
      </c>
      <c r="BE99" s="304">
        <v>1209.5661258534917</v>
      </c>
      <c r="BF99" s="304">
        <v>37254.400935101527</v>
      </c>
      <c r="BG99" s="303">
        <v>1147.6157833351119</v>
      </c>
      <c r="BH99" s="303">
        <v>38605.777593491381</v>
      </c>
      <c r="BI99" s="304">
        <v>1074.2453504246387</v>
      </c>
      <c r="BJ99" s="304">
        <v>37925.870085721072</v>
      </c>
      <c r="BK99" s="303">
        <v>1039.9527657087572</v>
      </c>
      <c r="BL99" s="303">
        <v>38137.778761035537</v>
      </c>
      <c r="BM99" s="304">
        <v>989.74647946170717</v>
      </c>
      <c r="BN99" s="304">
        <v>38683.737899279091</v>
      </c>
      <c r="BO99" s="303">
        <v>1040.9640381240756</v>
      </c>
      <c r="BP99" s="303">
        <v>39114.912536572752</v>
      </c>
      <c r="BQ99" s="304">
        <v>1091.8139618838809</v>
      </c>
      <c r="BR99" s="304">
        <v>39865.222166837324</v>
      </c>
      <c r="BS99" s="303">
        <v>1179.4320426579679</v>
      </c>
      <c r="BT99" s="303">
        <v>39637.419475175964</v>
      </c>
      <c r="BU99" s="304">
        <v>1251.198775361464</v>
      </c>
      <c r="BV99" s="304">
        <v>37813.350033422306</v>
      </c>
      <c r="BW99" s="303">
        <v>1331.9941527756962</v>
      </c>
      <c r="BX99" s="303">
        <v>36711.140162270502</v>
      </c>
      <c r="BY99" s="304">
        <v>1410.4542186331828</v>
      </c>
      <c r="BZ99" s="304">
        <v>36322.382064378515</v>
      </c>
      <c r="CA99" s="303">
        <v>1478.241225746403</v>
      </c>
      <c r="CB99" s="303">
        <v>35839.399247826637</v>
      </c>
      <c r="CC99" s="304">
        <v>1538.0243468325327</v>
      </c>
      <c r="CD99" s="304">
        <v>36460.057190031388</v>
      </c>
      <c r="CE99" s="303">
        <v>1511.9101023527651</v>
      </c>
      <c r="CF99" s="303">
        <v>37274.738627276718</v>
      </c>
      <c r="CG99" s="304">
        <v>1441.6364001398965</v>
      </c>
      <c r="CH99" s="304">
        <v>37052.417822006508</v>
      </c>
      <c r="CI99" s="303">
        <v>1548.8645031225269</v>
      </c>
      <c r="CJ99" s="303">
        <v>36691.916215066114</v>
      </c>
      <c r="CK99" s="304">
        <v>1678.997539617681</v>
      </c>
      <c r="CL99" s="304">
        <v>37770.843212734027</v>
      </c>
      <c r="CM99" s="303">
        <v>1774.426412828785</v>
      </c>
      <c r="CN99" s="303">
        <v>37411.389971642086</v>
      </c>
      <c r="CO99" s="304">
        <v>1787.0050229331775</v>
      </c>
      <c r="CP99" s="304">
        <v>37496.73801323439</v>
      </c>
      <c r="CQ99" s="303">
        <v>1861.3254553870024</v>
      </c>
      <c r="CR99" s="303">
        <v>38209.047431974373</v>
      </c>
      <c r="CS99" s="304">
        <v>1794.4308885043877</v>
      </c>
      <c r="CT99" s="304">
        <v>37229.188377597951</v>
      </c>
      <c r="CU99" s="303">
        <v>1899.6124843121947</v>
      </c>
      <c r="CV99" s="303">
        <v>37725.14552356417</v>
      </c>
      <c r="CW99" s="304">
        <v>1971.2217592637728</v>
      </c>
      <c r="CX99" s="304">
        <v>37826.092781186337</v>
      </c>
      <c r="CY99" s="303">
        <v>2071.1559221387847</v>
      </c>
      <c r="CZ99" s="303">
        <v>37857.416411936676</v>
      </c>
      <c r="DA99" s="304">
        <v>2167.8586281951916</v>
      </c>
      <c r="DB99" s="304">
        <v>38768.084518453194</v>
      </c>
    </row>
    <row r="100" spans="2:106" ht="14.25" customHeight="1" x14ac:dyDescent="0.25">
      <c r="B100" s="443" t="s">
        <v>758</v>
      </c>
      <c r="C100" s="272"/>
      <c r="D100" s="272"/>
      <c r="E100" s="272"/>
      <c r="G100" s="303">
        <v>635.42815799999994</v>
      </c>
      <c r="H100" s="303">
        <v>227.69560243408347</v>
      </c>
      <c r="I100" s="304">
        <v>677.64410759217776</v>
      </c>
      <c r="J100" s="304">
        <v>285.28257993315646</v>
      </c>
      <c r="K100" s="303">
        <v>869.67671019000011</v>
      </c>
      <c r="L100" s="303">
        <v>173.76697542000491</v>
      </c>
      <c r="M100" s="304">
        <v>962.51318093840609</v>
      </c>
      <c r="N100" s="304">
        <v>339.36040334999211</v>
      </c>
      <c r="O100" s="303">
        <v>851.06085953362231</v>
      </c>
      <c r="P100" s="303">
        <v>227.1464894099671</v>
      </c>
      <c r="Q100" s="304">
        <v>991.919028513086</v>
      </c>
      <c r="R100" s="304">
        <v>436.71053579359113</v>
      </c>
      <c r="S100" s="303">
        <v>1100.8111361926258</v>
      </c>
      <c r="T100" s="303">
        <v>243.75862722347628</v>
      </c>
      <c r="U100" s="304">
        <v>1096.0912490650712</v>
      </c>
      <c r="V100" s="304">
        <v>423.71690222887059</v>
      </c>
      <c r="W100" s="303">
        <v>1057.6428396945485</v>
      </c>
      <c r="X100" s="303">
        <v>231.29992304007195</v>
      </c>
      <c r="Y100" s="304">
        <v>1236.4164670423838</v>
      </c>
      <c r="Z100" s="304">
        <v>478.17825222997271</v>
      </c>
      <c r="AA100" s="303">
        <v>1296.969423210563</v>
      </c>
      <c r="AB100" s="303">
        <v>250.24696829006257</v>
      </c>
      <c r="AC100" s="304">
        <v>1364.6745587199998</v>
      </c>
      <c r="AD100" s="304">
        <v>444.53705846003442</v>
      </c>
      <c r="AE100" s="303">
        <v>1690.4251943500003</v>
      </c>
      <c r="AF100" s="303">
        <v>275.62167191992523</v>
      </c>
      <c r="AG100" s="304">
        <v>1615.3655258499998</v>
      </c>
      <c r="AH100" s="304">
        <v>533.1349472899866</v>
      </c>
      <c r="AI100" s="305">
        <v>1217.51913883</v>
      </c>
      <c r="AJ100" s="305">
        <v>295.77042510844535</v>
      </c>
      <c r="AK100" s="304">
        <v>1414.3559719900004</v>
      </c>
      <c r="AL100" s="304">
        <v>482.71633421998564</v>
      </c>
      <c r="AM100" s="303">
        <v>1637.4540476340005</v>
      </c>
      <c r="AN100" s="303">
        <v>213.9890096899835</v>
      </c>
      <c r="AO100" s="304">
        <v>1584.2980877199998</v>
      </c>
      <c r="AP100" s="304">
        <v>594.47370928999283</v>
      </c>
      <c r="AQ100" s="303">
        <v>1603.30580362</v>
      </c>
      <c r="AR100" s="303">
        <v>251.16804906999633</v>
      </c>
      <c r="AS100" s="304">
        <v>1515.2046497800002</v>
      </c>
      <c r="AT100" s="304">
        <v>514.66089356002794</v>
      </c>
      <c r="AU100" s="303">
        <v>1548.34083394</v>
      </c>
      <c r="AV100" s="303">
        <v>218.07060570999593</v>
      </c>
      <c r="AW100" s="304">
        <v>1700.04557909</v>
      </c>
      <c r="AX100" s="304">
        <v>432.08386743002325</v>
      </c>
      <c r="AY100" s="303">
        <v>1762.87546363</v>
      </c>
      <c r="AZ100" s="303">
        <v>228.96001065003122</v>
      </c>
      <c r="BA100" s="304">
        <v>1638.3487926900002</v>
      </c>
      <c r="BB100" s="304">
        <v>383.63517133000346</v>
      </c>
      <c r="BC100" s="303">
        <v>1799.6097012300002</v>
      </c>
      <c r="BD100" s="303">
        <v>214.71080418002364</v>
      </c>
      <c r="BE100" s="304">
        <v>1896.4141372599993</v>
      </c>
      <c r="BF100" s="304">
        <v>456.18926216000312</v>
      </c>
      <c r="BG100" s="303">
        <v>2207.5202826373297</v>
      </c>
      <c r="BH100" s="303">
        <v>219.48264894997234</v>
      </c>
      <c r="BI100" s="304">
        <v>1954.331489651287</v>
      </c>
      <c r="BJ100" s="304">
        <v>273.37845593000458</v>
      </c>
      <c r="BK100" s="303">
        <v>1762.9264765067278</v>
      </c>
      <c r="BL100" s="303">
        <v>158.72236904001889</v>
      </c>
      <c r="BM100" s="304">
        <v>1920.1923357457126</v>
      </c>
      <c r="BN100" s="304">
        <v>342.56233419999762</v>
      </c>
      <c r="BO100" s="303">
        <v>1840.0575087607344</v>
      </c>
      <c r="BP100" s="303">
        <v>276.03698290002347</v>
      </c>
      <c r="BQ100" s="304">
        <v>1909.1647197824925</v>
      </c>
      <c r="BR100" s="304">
        <v>461.01486233001111</v>
      </c>
      <c r="BS100" s="303">
        <v>2110.9659340642856</v>
      </c>
      <c r="BT100" s="303">
        <v>233.37437905000203</v>
      </c>
      <c r="BU100" s="304">
        <v>1743.7201108832678</v>
      </c>
      <c r="BV100" s="304">
        <v>522.64417287992342</v>
      </c>
      <c r="BW100" s="303">
        <v>1955.6336028963919</v>
      </c>
      <c r="BX100" s="303">
        <v>1301.3882131299999</v>
      </c>
      <c r="BY100" s="304">
        <v>1936.8650080243938</v>
      </c>
      <c r="BZ100" s="304">
        <v>1916.5834276500218</v>
      </c>
      <c r="CA100" s="303">
        <v>2377.5426975369328</v>
      </c>
      <c r="CB100" s="303">
        <v>2022.0506914799946</v>
      </c>
      <c r="CC100" s="304">
        <v>2249.9562367977123</v>
      </c>
      <c r="CD100" s="304">
        <v>2027.6448692199883</v>
      </c>
      <c r="CE100" s="303">
        <v>2636.2468357543385</v>
      </c>
      <c r="CF100" s="303">
        <v>1992.7379797399944</v>
      </c>
      <c r="CG100" s="304">
        <v>2792.6758225068406</v>
      </c>
      <c r="CH100" s="304">
        <v>1991.7414075000163</v>
      </c>
      <c r="CI100" s="303">
        <v>3106.7127933191305</v>
      </c>
      <c r="CJ100" s="303">
        <v>2198.2631571300221</v>
      </c>
      <c r="CK100" s="304">
        <v>2971.1768669085782</v>
      </c>
      <c r="CL100" s="304">
        <v>0</v>
      </c>
      <c r="CM100" s="303">
        <v>2870.2961009722717</v>
      </c>
      <c r="CN100" s="303">
        <v>0</v>
      </c>
      <c r="CO100" s="304">
        <v>3024.5651877641449</v>
      </c>
      <c r="CP100" s="304">
        <v>0</v>
      </c>
      <c r="CQ100" s="303">
        <v>3138.4683684507281</v>
      </c>
      <c r="CR100" s="303">
        <v>0</v>
      </c>
      <c r="CS100" s="304">
        <v>2929.5756261866627</v>
      </c>
      <c r="CT100" s="304">
        <v>0</v>
      </c>
      <c r="CU100" s="303">
        <v>3272.0316949482581</v>
      </c>
      <c r="CV100" s="303">
        <v>0</v>
      </c>
      <c r="CW100" s="304">
        <v>3522.0621564927915</v>
      </c>
      <c r="CX100" s="304">
        <v>0</v>
      </c>
      <c r="CY100" s="303">
        <v>3749.58635910255</v>
      </c>
      <c r="CZ100" s="303">
        <v>0</v>
      </c>
      <c r="DA100" s="304">
        <v>3907.7198813734349</v>
      </c>
      <c r="DB100" s="304">
        <v>0</v>
      </c>
    </row>
    <row r="101" spans="2:106" ht="14.25" customHeight="1" x14ac:dyDescent="0.25">
      <c r="B101" s="443" t="s">
        <v>759</v>
      </c>
      <c r="C101" s="272"/>
      <c r="E101" s="272"/>
      <c r="F101" s="444"/>
      <c r="G101" s="303">
        <v>727.30431585048234</v>
      </c>
      <c r="H101" s="303">
        <v>0</v>
      </c>
      <c r="I101" s="304">
        <v>883.91038591848758</v>
      </c>
      <c r="J101" s="304">
        <v>0</v>
      </c>
      <c r="K101" s="303">
        <v>897.98272161997147</v>
      </c>
      <c r="L101" s="303">
        <v>0</v>
      </c>
      <c r="M101" s="304">
        <v>940.27626073998988</v>
      </c>
      <c r="N101" s="304">
        <v>0</v>
      </c>
      <c r="O101" s="303">
        <v>903.67343983993328</v>
      </c>
      <c r="P101" s="303">
        <v>0</v>
      </c>
      <c r="Q101" s="304">
        <v>892.70711574942425</v>
      </c>
      <c r="R101" s="304">
        <v>0</v>
      </c>
      <c r="S101" s="303">
        <v>848.80342283671939</v>
      </c>
      <c r="T101" s="303">
        <v>0</v>
      </c>
      <c r="U101" s="304">
        <v>839.05527599102481</v>
      </c>
      <c r="V101" s="304">
        <v>0</v>
      </c>
      <c r="W101" s="303">
        <v>798.31279817982272</v>
      </c>
      <c r="X101" s="303">
        <v>0</v>
      </c>
      <c r="Y101" s="304">
        <v>760.20417752986032</v>
      </c>
      <c r="Z101" s="304">
        <v>0</v>
      </c>
      <c r="AA101" s="303">
        <v>886.26430254996524</v>
      </c>
      <c r="AB101" s="303">
        <v>0</v>
      </c>
      <c r="AC101" s="304">
        <v>942.54868470912209</v>
      </c>
      <c r="AD101" s="304">
        <v>0</v>
      </c>
      <c r="AE101" s="303">
        <v>949.69516939755135</v>
      </c>
      <c r="AF101" s="303">
        <v>0</v>
      </c>
      <c r="AG101" s="304">
        <v>830.47734720293727</v>
      </c>
      <c r="AH101" s="304">
        <v>0</v>
      </c>
      <c r="AI101" s="305">
        <v>889.10571908730606</v>
      </c>
      <c r="AJ101" s="305">
        <v>0</v>
      </c>
      <c r="AK101" s="304">
        <v>890.03615774998377</v>
      </c>
      <c r="AL101" s="304">
        <v>0</v>
      </c>
      <c r="AM101" s="303">
        <v>922.02177626296316</v>
      </c>
      <c r="AN101" s="303">
        <v>0</v>
      </c>
      <c r="AO101" s="304">
        <v>928.0660489824329</v>
      </c>
      <c r="AP101" s="304">
        <v>0</v>
      </c>
      <c r="AQ101" s="303">
        <v>894.92365737998705</v>
      </c>
      <c r="AR101" s="303">
        <v>0</v>
      </c>
      <c r="AS101" s="304">
        <v>799.97875233996115</v>
      </c>
      <c r="AT101" s="304">
        <v>0</v>
      </c>
      <c r="AU101" s="303">
        <v>760.55795448193464</v>
      </c>
      <c r="AV101" s="303">
        <v>0</v>
      </c>
      <c r="AW101" s="304">
        <v>819.06167561240807</v>
      </c>
      <c r="AX101" s="304">
        <v>0</v>
      </c>
      <c r="AY101" s="303">
        <v>825.37794439902348</v>
      </c>
      <c r="AZ101" s="303">
        <v>0</v>
      </c>
      <c r="BA101" s="304">
        <v>900.21199847175535</v>
      </c>
      <c r="BB101" s="304">
        <v>0</v>
      </c>
      <c r="BC101" s="303">
        <v>926.69690221143401</v>
      </c>
      <c r="BD101" s="303">
        <v>0</v>
      </c>
      <c r="BE101" s="304">
        <v>954.87865312111171</v>
      </c>
      <c r="BF101" s="304">
        <v>0</v>
      </c>
      <c r="BG101" s="303">
        <v>339.70890581030153</v>
      </c>
      <c r="BH101" s="303">
        <v>0</v>
      </c>
      <c r="BI101" s="304">
        <v>383.60205663773456</v>
      </c>
      <c r="BJ101" s="304">
        <v>0</v>
      </c>
      <c r="BK101" s="303">
        <v>406.18689602980555</v>
      </c>
      <c r="BL101" s="303">
        <v>0</v>
      </c>
      <c r="BM101" s="304">
        <v>408.8878874695427</v>
      </c>
      <c r="BN101" s="304">
        <v>0</v>
      </c>
      <c r="BO101" s="303">
        <v>367.82484814685859</v>
      </c>
      <c r="BP101" s="303">
        <v>0</v>
      </c>
      <c r="BQ101" s="304">
        <v>381.26411137919666</v>
      </c>
      <c r="BR101" s="304">
        <v>0</v>
      </c>
      <c r="BS101" s="303">
        <v>378.4306550468358</v>
      </c>
      <c r="BT101" s="303">
        <v>0</v>
      </c>
      <c r="BU101" s="304">
        <v>175.37950518824672</v>
      </c>
      <c r="BV101" s="304">
        <v>0</v>
      </c>
      <c r="BW101" s="303">
        <v>29.322753461538465</v>
      </c>
      <c r="BX101" s="303">
        <v>0</v>
      </c>
      <c r="BY101" s="304">
        <v>27.373033401300777</v>
      </c>
      <c r="BZ101" s="304">
        <v>0</v>
      </c>
      <c r="CA101" s="303">
        <v>25.149131589969691</v>
      </c>
      <c r="CB101" s="303">
        <v>0</v>
      </c>
      <c r="CC101" s="304">
        <v>27.626916620307895</v>
      </c>
      <c r="CD101" s="304">
        <v>0</v>
      </c>
      <c r="CE101" s="303">
        <v>29.822642840796281</v>
      </c>
      <c r="CF101" s="303">
        <v>0</v>
      </c>
      <c r="CG101" s="304">
        <v>29.069930618787037</v>
      </c>
      <c r="CH101" s="304">
        <v>0</v>
      </c>
      <c r="CI101" s="303">
        <v>27.997592161204359</v>
      </c>
      <c r="CJ101" s="303">
        <v>0</v>
      </c>
      <c r="CK101" s="304">
        <v>31.244297940284014</v>
      </c>
      <c r="CL101" s="304">
        <v>0</v>
      </c>
      <c r="CM101" s="303">
        <v>33.771920419332126</v>
      </c>
      <c r="CN101" s="303">
        <v>0</v>
      </c>
      <c r="CO101" s="304">
        <v>35.238868519315091</v>
      </c>
      <c r="CP101" s="304">
        <v>0</v>
      </c>
      <c r="CQ101" s="303">
        <v>39.900564210230947</v>
      </c>
      <c r="CR101" s="303">
        <v>0</v>
      </c>
      <c r="CS101" s="304">
        <v>39.748931090735525</v>
      </c>
      <c r="CT101" s="304">
        <v>0</v>
      </c>
      <c r="CU101" s="303">
        <v>47.303168499651761</v>
      </c>
      <c r="CV101" s="303">
        <v>0</v>
      </c>
      <c r="CW101" s="304">
        <v>50.024535979576449</v>
      </c>
      <c r="CX101" s="304">
        <v>0</v>
      </c>
      <c r="CY101" s="303">
        <v>58.443127569935797</v>
      </c>
      <c r="CZ101" s="303">
        <v>0</v>
      </c>
      <c r="DA101" s="304">
        <v>86.149134039195545</v>
      </c>
      <c r="DB101" s="304">
        <v>0</v>
      </c>
    </row>
    <row r="102" spans="2:106" ht="14.25" customHeight="1" x14ac:dyDescent="0.25">
      <c r="B102" s="272"/>
      <c r="C102" s="272"/>
      <c r="D102" s="272"/>
      <c r="E102" s="272"/>
      <c r="F102" s="445"/>
      <c r="G102" s="446"/>
      <c r="H102" s="446"/>
      <c r="I102" s="304"/>
      <c r="J102" s="304"/>
      <c r="K102" s="446"/>
      <c r="L102" s="446"/>
      <c r="M102" s="304"/>
      <c r="N102" s="304"/>
      <c r="O102" s="446"/>
      <c r="P102" s="446"/>
      <c r="Q102" s="304"/>
      <c r="R102" s="304"/>
      <c r="S102" s="446"/>
      <c r="T102" s="446"/>
      <c r="U102" s="304"/>
      <c r="V102" s="304"/>
      <c r="W102" s="446"/>
      <c r="X102" s="446"/>
      <c r="Y102" s="304"/>
      <c r="Z102" s="304"/>
      <c r="AA102" s="446"/>
      <c r="AB102" s="446"/>
      <c r="AC102" s="304"/>
      <c r="AD102" s="304"/>
      <c r="AE102" s="446"/>
      <c r="AF102" s="446"/>
      <c r="AG102" s="304"/>
      <c r="AH102" s="304"/>
      <c r="AI102" s="446"/>
      <c r="AJ102" s="446"/>
      <c r="AK102" s="304"/>
      <c r="AL102" s="304"/>
      <c r="AM102" s="446"/>
      <c r="AN102" s="446"/>
      <c r="AO102" s="304"/>
      <c r="AP102" s="304"/>
      <c r="AQ102" s="446"/>
      <c r="AR102" s="446"/>
      <c r="AS102" s="304"/>
      <c r="AT102" s="304"/>
      <c r="AU102" s="303"/>
      <c r="AV102" s="303"/>
      <c r="AW102" s="304"/>
      <c r="AX102" s="304"/>
      <c r="AY102" s="303"/>
      <c r="AZ102" s="303"/>
      <c r="BA102" s="304"/>
      <c r="BB102" s="304"/>
      <c r="BC102" s="303"/>
      <c r="BD102" s="303"/>
      <c r="BE102" s="304"/>
      <c r="BF102" s="304"/>
      <c r="BG102" s="303"/>
      <c r="BH102" s="303"/>
      <c r="BI102" s="304"/>
      <c r="BJ102" s="304"/>
      <c r="BK102" s="303"/>
      <c r="BL102" s="303"/>
      <c r="BM102" s="304"/>
      <c r="BN102" s="304"/>
      <c r="BO102" s="303"/>
      <c r="BP102" s="303"/>
      <c r="BQ102" s="304"/>
      <c r="BR102" s="304"/>
      <c r="BS102" s="303"/>
      <c r="BT102" s="303"/>
      <c r="BU102" s="304"/>
      <c r="BV102" s="304"/>
      <c r="BW102" s="303"/>
      <c r="BX102" s="303"/>
      <c r="BY102" s="304"/>
      <c r="BZ102" s="304"/>
      <c r="CA102" s="303"/>
      <c r="CB102" s="303"/>
      <c r="CC102" s="304"/>
      <c r="CD102" s="304"/>
      <c r="CE102" s="303"/>
      <c r="CF102" s="303"/>
      <c r="CG102" s="304"/>
      <c r="CH102" s="304"/>
      <c r="CI102" s="303"/>
      <c r="CJ102" s="303"/>
      <c r="CK102" s="304"/>
      <c r="CL102" s="304"/>
      <c r="CM102" s="303"/>
      <c r="CN102" s="303"/>
      <c r="CO102" s="304"/>
      <c r="CP102" s="304"/>
      <c r="CQ102" s="303"/>
      <c r="CR102" s="303"/>
      <c r="CS102" s="304"/>
      <c r="CT102" s="304"/>
      <c r="CU102" s="303"/>
      <c r="CV102" s="303"/>
      <c r="CW102" s="304"/>
      <c r="CX102" s="304"/>
      <c r="CY102" s="303"/>
      <c r="CZ102" s="303"/>
      <c r="DA102" s="304"/>
      <c r="DB102" s="304"/>
    </row>
    <row r="103" spans="2:106" ht="14.25" customHeight="1" x14ac:dyDescent="0.25">
      <c r="B103" s="440" t="s">
        <v>760</v>
      </c>
      <c r="C103" s="440"/>
      <c r="D103" s="440"/>
      <c r="E103" s="440"/>
      <c r="F103" s="440"/>
      <c r="G103" s="441">
        <v>9192.5032623212373</v>
      </c>
      <c r="H103" s="441">
        <v>45601.713944379939</v>
      </c>
      <c r="I103" s="441">
        <v>9455.9158263186182</v>
      </c>
      <c r="J103" s="441">
        <v>47808.436206681668</v>
      </c>
      <c r="K103" s="441">
        <v>10458.855305329458</v>
      </c>
      <c r="L103" s="441">
        <v>49583.005835457334</v>
      </c>
      <c r="M103" s="441">
        <v>11750.041530906503</v>
      </c>
      <c r="N103" s="441">
        <v>51704.605058508496</v>
      </c>
      <c r="O103" s="441">
        <v>11351.244707818092</v>
      </c>
      <c r="P103" s="441">
        <v>52166.599455957847</v>
      </c>
      <c r="Q103" s="441">
        <v>11185.866351351247</v>
      </c>
      <c r="R103" s="441">
        <v>52811.214380158148</v>
      </c>
      <c r="S103" s="441">
        <v>9678.335697392904</v>
      </c>
      <c r="T103" s="441">
        <v>51502.865592600952</v>
      </c>
      <c r="U103" s="441">
        <v>10372.633068935254</v>
      </c>
      <c r="V103" s="441">
        <v>52933.675594128028</v>
      </c>
      <c r="W103" s="441">
        <v>9629.9281346087409</v>
      </c>
      <c r="X103" s="441">
        <v>52398.61428064877</v>
      </c>
      <c r="Y103" s="441">
        <v>10734.292192886776</v>
      </c>
      <c r="Z103" s="441">
        <v>53740.235421088866</v>
      </c>
      <c r="AA103" s="441">
        <v>9800.1220553316034</v>
      </c>
      <c r="AB103" s="441">
        <v>52932.654235842303</v>
      </c>
      <c r="AC103" s="441">
        <v>8943.3242177418688</v>
      </c>
      <c r="AD103" s="441">
        <v>53326.9881266136</v>
      </c>
      <c r="AE103" s="441">
        <v>10773.130779607978</v>
      </c>
      <c r="AF103" s="441">
        <v>56114.543793825207</v>
      </c>
      <c r="AG103" s="441">
        <v>10266.063630642388</v>
      </c>
      <c r="AH103" s="441">
        <v>54857.431824122432</v>
      </c>
      <c r="AI103" s="442">
        <v>9289.6079820070718</v>
      </c>
      <c r="AJ103" s="442">
        <v>54608.351041865542</v>
      </c>
      <c r="AK103" s="441">
        <v>11321.905500562714</v>
      </c>
      <c r="AL103" s="441">
        <v>57908.546506363164</v>
      </c>
      <c r="AM103" s="441">
        <v>11856.111853578173</v>
      </c>
      <c r="AN103" s="441">
        <v>58271.161922167506</v>
      </c>
      <c r="AO103" s="441">
        <v>12703.939179632895</v>
      </c>
      <c r="AP103" s="441">
        <v>60560.563324003691</v>
      </c>
      <c r="AQ103" s="441">
        <v>11907.575871925614</v>
      </c>
      <c r="AR103" s="441">
        <v>61334.514573260152</v>
      </c>
      <c r="AS103" s="441">
        <v>13710.904794587452</v>
      </c>
      <c r="AT103" s="441">
        <v>62927.366198465359</v>
      </c>
      <c r="AU103" s="441">
        <v>12090.633368405317</v>
      </c>
      <c r="AV103" s="441">
        <v>61923.778780827728</v>
      </c>
      <c r="AW103" s="441">
        <v>12097.678917882216</v>
      </c>
      <c r="AX103" s="441">
        <v>61389.615400741895</v>
      </c>
      <c r="AY103" s="441">
        <v>13040.986312527499</v>
      </c>
      <c r="AZ103" s="441">
        <v>63187.587910620117</v>
      </c>
      <c r="BA103" s="441">
        <v>14051.13089692981</v>
      </c>
      <c r="BB103" s="441">
        <v>64219.544127702015</v>
      </c>
      <c r="BC103" s="441">
        <v>12928.522693196233</v>
      </c>
      <c r="BD103" s="441">
        <v>64272.142138368312</v>
      </c>
      <c r="BE103" s="441">
        <v>12985.375993025524</v>
      </c>
      <c r="BF103" s="441">
        <v>64147.778924901257</v>
      </c>
      <c r="BG103" s="441">
        <v>13213.788754458479</v>
      </c>
      <c r="BH103" s="441">
        <v>57597.49267371837</v>
      </c>
      <c r="BI103" s="441">
        <v>11985.28380485995</v>
      </c>
      <c r="BJ103" s="441">
        <v>58287.39832429892</v>
      </c>
      <c r="BK103" s="441">
        <v>11626.283682762021</v>
      </c>
      <c r="BL103" s="441">
        <v>59354.732367325996</v>
      </c>
      <c r="BM103" s="441">
        <v>10882.747354537014</v>
      </c>
      <c r="BN103" s="441">
        <v>58574.114178392949</v>
      </c>
      <c r="BO103" s="441">
        <v>8942.4639628175792</v>
      </c>
      <c r="BP103" s="441">
        <v>58773.053863679161</v>
      </c>
      <c r="BQ103" s="441">
        <v>9322.1726869440263</v>
      </c>
      <c r="BR103" s="441">
        <v>60410.727891601084</v>
      </c>
      <c r="BS103" s="441">
        <v>8711.8988437460903</v>
      </c>
      <c r="BT103" s="441">
        <v>62421.184704528299</v>
      </c>
      <c r="BU103" s="441">
        <v>8757.5469581923917</v>
      </c>
      <c r="BV103" s="441">
        <v>63967.224417070087</v>
      </c>
      <c r="BW103" s="441">
        <v>8073.0773461734352</v>
      </c>
      <c r="BX103" s="441">
        <v>59785.583680374315</v>
      </c>
      <c r="BY103" s="441">
        <v>8316.5516570773652</v>
      </c>
      <c r="BZ103" s="441">
        <v>57282.048781625417</v>
      </c>
      <c r="CA103" s="441">
        <v>8857.6959175731317</v>
      </c>
      <c r="CB103" s="441">
        <v>57398.785724271816</v>
      </c>
      <c r="CC103" s="441">
        <v>8829.9684081460928</v>
      </c>
      <c r="CD103" s="441">
        <v>58102.000609123323</v>
      </c>
      <c r="CE103" s="441">
        <v>9775.0342875120296</v>
      </c>
      <c r="CF103" s="441">
        <v>59853.959532914785</v>
      </c>
      <c r="CG103" s="441">
        <v>10927.951816180783</v>
      </c>
      <c r="CH103" s="441">
        <v>61507.925833591042</v>
      </c>
      <c r="CI103" s="441">
        <v>11712.053736949902</v>
      </c>
      <c r="CJ103" s="441">
        <v>61810.214149087922</v>
      </c>
      <c r="CK103" s="441">
        <v>12524.514888535032</v>
      </c>
      <c r="CL103" s="441">
        <v>63409.581234232945</v>
      </c>
      <c r="CM103" s="441">
        <v>13176.129991560694</v>
      </c>
      <c r="CN103" s="441">
        <v>64608.144269142278</v>
      </c>
      <c r="CO103" s="441">
        <v>14069.885039851073</v>
      </c>
      <c r="CP103" s="441">
        <v>65605.896002791676</v>
      </c>
      <c r="CQ103" s="441">
        <v>14639.588709141266</v>
      </c>
      <c r="CR103" s="441">
        <v>66267.825438494037</v>
      </c>
      <c r="CS103" s="441">
        <v>14541.623865225954</v>
      </c>
      <c r="CT103" s="441">
        <v>66106.774040192948</v>
      </c>
      <c r="CU103" s="441">
        <v>15793.539664470089</v>
      </c>
      <c r="CV103" s="441">
        <v>64697.935508968134</v>
      </c>
      <c r="CW103" s="441">
        <v>15283.086044918498</v>
      </c>
      <c r="CX103" s="441">
        <v>64843.118719806414</v>
      </c>
      <c r="CY103" s="441">
        <v>15295.608730650814</v>
      </c>
      <c r="CZ103" s="441">
        <v>65802.523701491271</v>
      </c>
      <c r="DA103" s="441">
        <v>16070.381444989027</v>
      </c>
      <c r="DB103" s="441">
        <v>66988.727736166373</v>
      </c>
    </row>
    <row r="104" spans="2:106" ht="14.25" customHeight="1" x14ac:dyDescent="0.25">
      <c r="B104" s="447" t="s">
        <v>597</v>
      </c>
      <c r="C104" s="272"/>
      <c r="D104" s="272"/>
      <c r="E104" s="272"/>
      <c r="G104" s="298">
        <v>4149.4978225619916</v>
      </c>
      <c r="H104" s="298">
        <v>5843.0387171060411</v>
      </c>
      <c r="I104" s="299">
        <v>5649.835599703003</v>
      </c>
      <c r="J104" s="299">
        <v>7814.1699688552198</v>
      </c>
      <c r="K104" s="298">
        <v>6187.0825070543251</v>
      </c>
      <c r="L104" s="298">
        <v>7475.5496144661829</v>
      </c>
      <c r="M104" s="299">
        <v>7110.8353986704424</v>
      </c>
      <c r="N104" s="299">
        <v>8275.9178168003873</v>
      </c>
      <c r="O104" s="298">
        <v>7060.3825861073619</v>
      </c>
      <c r="P104" s="298">
        <v>8435.8556497702757</v>
      </c>
      <c r="Q104" s="299">
        <v>6956.6818145936186</v>
      </c>
      <c r="R104" s="299">
        <v>9132.2205927177511</v>
      </c>
      <c r="S104" s="298">
        <v>5744.1182406284051</v>
      </c>
      <c r="T104" s="298">
        <v>8814.5653973852732</v>
      </c>
      <c r="U104" s="299">
        <v>6077.4403248498311</v>
      </c>
      <c r="V104" s="299">
        <v>9334.1669626712501</v>
      </c>
      <c r="W104" s="298">
        <v>6263.8438977536634</v>
      </c>
      <c r="X104" s="298">
        <v>8460.8934060764386</v>
      </c>
      <c r="Y104" s="299">
        <v>7189.9465558661987</v>
      </c>
      <c r="Z104" s="299">
        <v>9145.5740743776732</v>
      </c>
      <c r="AA104" s="298">
        <v>6595.7468917473325</v>
      </c>
      <c r="AB104" s="298">
        <v>8184.0495858581289</v>
      </c>
      <c r="AC104" s="299">
        <v>5953.4860688424651</v>
      </c>
      <c r="AD104" s="299">
        <v>8521.7335897687044</v>
      </c>
      <c r="AE104" s="298">
        <v>7396.6551997309634</v>
      </c>
      <c r="AF104" s="298">
        <v>8610.6756120480131</v>
      </c>
      <c r="AG104" s="299">
        <v>6395.4006783759796</v>
      </c>
      <c r="AH104" s="299">
        <v>8762.708834355868</v>
      </c>
      <c r="AI104" s="300">
        <v>5603.2284979545611</v>
      </c>
      <c r="AJ104" s="300">
        <v>9029.5641448776805</v>
      </c>
      <c r="AK104" s="299">
        <v>7517.0119150013497</v>
      </c>
      <c r="AL104" s="299">
        <v>9684.5250000127708</v>
      </c>
      <c r="AM104" s="298">
        <v>6916.8690059412029</v>
      </c>
      <c r="AN104" s="298">
        <v>8466.6299968922121</v>
      </c>
      <c r="AO104" s="299">
        <v>7165.8118910333269</v>
      </c>
      <c r="AP104" s="299">
        <v>9366.5523895531187</v>
      </c>
      <c r="AQ104" s="298">
        <v>5578.0643333089392</v>
      </c>
      <c r="AR104" s="298">
        <v>9325.0276436968852</v>
      </c>
      <c r="AS104" s="299">
        <v>7388.0163387264283</v>
      </c>
      <c r="AT104" s="299">
        <v>8877.3101138235397</v>
      </c>
      <c r="AU104" s="298">
        <v>5720.9728844709516</v>
      </c>
      <c r="AV104" s="298">
        <v>9068.0855044829295</v>
      </c>
      <c r="AW104" s="299">
        <v>6150.6889038229356</v>
      </c>
      <c r="AX104" s="299">
        <v>8841.2601682064087</v>
      </c>
      <c r="AY104" s="298">
        <v>7172.1563061308043</v>
      </c>
      <c r="AZ104" s="298">
        <v>8501.1985347088084</v>
      </c>
      <c r="BA104" s="299">
        <v>8329.0777800186661</v>
      </c>
      <c r="BB104" s="299">
        <v>8268.7134786771931</v>
      </c>
      <c r="BC104" s="298">
        <v>7214.2610317023291</v>
      </c>
      <c r="BD104" s="298">
        <v>8690.4817654820636</v>
      </c>
      <c r="BE104" s="299">
        <v>6846.2804966904287</v>
      </c>
      <c r="BF104" s="299">
        <v>9299.1137059860685</v>
      </c>
      <c r="BG104" s="298">
        <v>6670.3279580252392</v>
      </c>
      <c r="BH104" s="298">
        <v>9148.5078452462694</v>
      </c>
      <c r="BI104" s="299">
        <v>5849.2484227150517</v>
      </c>
      <c r="BJ104" s="299">
        <v>8471.8678520036647</v>
      </c>
      <c r="BK104" s="298">
        <v>6609.2003205432102</v>
      </c>
      <c r="BL104" s="298">
        <v>8726.0165375852484</v>
      </c>
      <c r="BM104" s="299">
        <v>6184.1119903055314</v>
      </c>
      <c r="BN104" s="299">
        <v>9061.8846582461556</v>
      </c>
      <c r="BO104" s="298">
        <v>5299.7868214832306</v>
      </c>
      <c r="BP104" s="298">
        <v>8829.8813611499791</v>
      </c>
      <c r="BQ104" s="299">
        <v>7142.8871612336607</v>
      </c>
      <c r="BR104" s="299">
        <v>9032.6928654929179</v>
      </c>
      <c r="BS104" s="298">
        <v>6461.9061806373666</v>
      </c>
      <c r="BT104" s="298">
        <v>9994.9830921746452</v>
      </c>
      <c r="BU104" s="299">
        <v>6803.7368024410061</v>
      </c>
      <c r="BV104" s="299">
        <v>9560.2955654190737</v>
      </c>
      <c r="BW104" s="298">
        <v>6207.188866302834</v>
      </c>
      <c r="BX104" s="298">
        <v>9204.0536371988601</v>
      </c>
      <c r="BY104" s="299">
        <v>6592.8069280176915</v>
      </c>
      <c r="BZ104" s="299">
        <v>8770.9292541421473</v>
      </c>
      <c r="CA104" s="298">
        <v>6913.5958202934498</v>
      </c>
      <c r="CB104" s="298">
        <v>8884.7275218396062</v>
      </c>
      <c r="CC104" s="299">
        <v>7091.3823898583178</v>
      </c>
      <c r="CD104" s="299">
        <v>7957.0875961542624</v>
      </c>
      <c r="CE104" s="298">
        <v>8010.6646401908947</v>
      </c>
      <c r="CF104" s="298">
        <v>7685.1533456415646</v>
      </c>
      <c r="CG104" s="299">
        <v>8959.9261632559719</v>
      </c>
      <c r="CH104" s="299">
        <v>8150.851030009555</v>
      </c>
      <c r="CI104" s="298">
        <v>9184.0324957762659</v>
      </c>
      <c r="CJ104" s="298">
        <v>8272.7044489754753</v>
      </c>
      <c r="CK104" s="299">
        <v>9280.3416385043292</v>
      </c>
      <c r="CL104" s="299">
        <v>5810.8638312201665</v>
      </c>
      <c r="CM104" s="298">
        <v>9514.8649819264556</v>
      </c>
      <c r="CN104" s="298">
        <v>5957.8899099768669</v>
      </c>
      <c r="CO104" s="299">
        <v>9612.3383062152225</v>
      </c>
      <c r="CP104" s="299">
        <v>6532.0331362610859</v>
      </c>
      <c r="CQ104" s="298">
        <v>9497.0437165993662</v>
      </c>
      <c r="CR104" s="298">
        <v>6570.9837491339731</v>
      </c>
      <c r="CS104" s="299">
        <v>9074.688870622711</v>
      </c>
      <c r="CT104" s="299">
        <v>5916.8023536193487</v>
      </c>
      <c r="CU104" s="298">
        <v>10885.581358494112</v>
      </c>
      <c r="CV104" s="298">
        <v>6175.1562672756445</v>
      </c>
      <c r="CW104" s="299">
        <v>9248.1801813091988</v>
      </c>
      <c r="CX104" s="299">
        <v>6267.5900937724382</v>
      </c>
      <c r="CY104" s="298">
        <v>9738.8927358250985</v>
      </c>
      <c r="CZ104" s="298">
        <v>6495.1122623048368</v>
      </c>
      <c r="DA104" s="299">
        <v>10257.534771420431</v>
      </c>
      <c r="DB104" s="299">
        <v>6666.9689061870713</v>
      </c>
    </row>
    <row r="105" spans="2:106" ht="14.25" customHeight="1" x14ac:dyDescent="0.25">
      <c r="B105" s="443" t="s">
        <v>544</v>
      </c>
      <c r="C105" s="272"/>
      <c r="D105" s="272"/>
      <c r="E105" s="272"/>
      <c r="G105" s="303"/>
      <c r="H105" s="303"/>
      <c r="I105" s="304"/>
      <c r="J105" s="304">
        <v>507.29653582310021</v>
      </c>
      <c r="K105" s="303"/>
      <c r="L105" s="303">
        <v>646.2238393202415</v>
      </c>
      <c r="M105" s="304"/>
      <c r="N105" s="304">
        <v>593.92934993276924</v>
      </c>
      <c r="O105" s="303"/>
      <c r="P105" s="303">
        <v>543.12568627696407</v>
      </c>
      <c r="Q105" s="304"/>
      <c r="R105" s="304">
        <v>398.78501722519439</v>
      </c>
      <c r="S105" s="303"/>
      <c r="T105" s="303">
        <v>311.75359858640468</v>
      </c>
      <c r="U105" s="304"/>
      <c r="V105" s="304">
        <v>216.16901409366196</v>
      </c>
      <c r="W105" s="303"/>
      <c r="X105" s="303">
        <v>28.28023701717558</v>
      </c>
      <c r="Y105" s="304"/>
      <c r="Z105" s="304">
        <v>33.411526505494145</v>
      </c>
      <c r="AA105" s="303"/>
      <c r="AB105" s="303">
        <v>15.218652424172397</v>
      </c>
      <c r="AC105" s="304"/>
      <c r="AD105" s="304">
        <v>36.452116578783503</v>
      </c>
      <c r="AE105" s="303"/>
      <c r="AF105" s="303">
        <v>84.800337090469839</v>
      </c>
      <c r="AG105" s="304"/>
      <c r="AH105" s="304">
        <v>79.726948038022769</v>
      </c>
      <c r="AI105" s="305"/>
      <c r="AJ105" s="305">
        <v>77.933175709123446</v>
      </c>
      <c r="AK105" s="304"/>
      <c r="AL105" s="304">
        <v>129.07932569325007</v>
      </c>
      <c r="AM105" s="303"/>
      <c r="AN105" s="303">
        <v>124.90866485544038</v>
      </c>
      <c r="AO105" s="304"/>
      <c r="AP105" s="304">
        <v>166.72743170836205</v>
      </c>
      <c r="AQ105" s="303"/>
      <c r="AR105" s="303">
        <v>159.5858435325766</v>
      </c>
      <c r="AS105" s="304"/>
      <c r="AT105" s="304">
        <v>129.89139353660647</v>
      </c>
      <c r="AU105" s="303"/>
      <c r="AV105" s="303">
        <v>99.595249864413518</v>
      </c>
      <c r="AW105" s="304"/>
      <c r="AX105" s="304">
        <v>59.584196656614751</v>
      </c>
      <c r="AY105" s="303"/>
      <c r="AZ105" s="303">
        <v>65.332643205503217</v>
      </c>
      <c r="BA105" s="304"/>
      <c r="BB105" s="304">
        <v>65.797223337188569</v>
      </c>
      <c r="BC105" s="303"/>
      <c r="BD105" s="303">
        <v>61.351665471930403</v>
      </c>
      <c r="BE105" s="304"/>
      <c r="BF105" s="304">
        <v>118.55724234423839</v>
      </c>
      <c r="BG105" s="303"/>
      <c r="BH105" s="303">
        <v>52.985633150176035</v>
      </c>
      <c r="BI105" s="304"/>
      <c r="BJ105" s="304">
        <v>8.4477443943900674</v>
      </c>
      <c r="BK105" s="303"/>
      <c r="BL105" s="303">
        <v>8.5203045786554572</v>
      </c>
      <c r="BM105" s="304"/>
      <c r="BN105" s="304">
        <v>3.5689075491674327</v>
      </c>
      <c r="BO105" s="303"/>
      <c r="BP105" s="303">
        <v>5.7441580290130645</v>
      </c>
      <c r="BQ105" s="304"/>
      <c r="BR105" s="304">
        <v>2.6211455653820201</v>
      </c>
      <c r="BS105" s="303"/>
      <c r="BT105" s="312">
        <v>0.29969577099142242</v>
      </c>
      <c r="BU105" s="304"/>
      <c r="BV105" s="304">
        <v>0.97829379729265653</v>
      </c>
      <c r="BW105" s="303"/>
      <c r="BX105" s="303">
        <v>4.0658597013167306</v>
      </c>
      <c r="BY105" s="304"/>
      <c r="BZ105" s="304">
        <v>5.7704339464679792</v>
      </c>
      <c r="CA105" s="303"/>
      <c r="CB105" s="303">
        <v>26.975208142053297</v>
      </c>
      <c r="CC105" s="304"/>
      <c r="CD105" s="304">
        <v>30.890369632435039</v>
      </c>
      <c r="CE105" s="303"/>
      <c r="CF105" s="303">
        <v>170.56286859610958</v>
      </c>
      <c r="CG105" s="304"/>
      <c r="CH105" s="304">
        <v>510.227013964599</v>
      </c>
      <c r="CI105" s="303"/>
      <c r="CJ105" s="303">
        <v>355.47666100829952</v>
      </c>
      <c r="CK105" s="304"/>
      <c r="CL105" s="304">
        <v>209.85643521201317</v>
      </c>
      <c r="CM105" s="303"/>
      <c r="CN105" s="303">
        <v>97.209444144320145</v>
      </c>
      <c r="CO105" s="304"/>
      <c r="CP105" s="304">
        <v>34.836789790989798</v>
      </c>
      <c r="CQ105" s="303"/>
      <c r="CR105" s="303">
        <v>5.3138180488273496</v>
      </c>
      <c r="CS105" s="304"/>
      <c r="CT105" s="304">
        <v>28.474818717794154</v>
      </c>
      <c r="CU105" s="303"/>
      <c r="CV105" s="303">
        <v>14.30731156973288</v>
      </c>
      <c r="CW105" s="304"/>
      <c r="CX105" s="304">
        <v>0.88780762903367183</v>
      </c>
      <c r="CY105" s="303"/>
      <c r="CZ105" s="303">
        <v>13.529272040304846</v>
      </c>
      <c r="DA105" s="304"/>
      <c r="DB105" s="304">
        <v>4.7874467311691795</v>
      </c>
    </row>
    <row r="106" spans="2:106" ht="14.25" customHeight="1" x14ac:dyDescent="0.25">
      <c r="B106" s="443" t="s">
        <v>595</v>
      </c>
      <c r="C106" s="272"/>
      <c r="D106" s="272"/>
      <c r="E106" s="272"/>
      <c r="G106" s="303">
        <v>2812.48428824245</v>
      </c>
      <c r="H106" s="303">
        <v>232.34634527810459</v>
      </c>
      <c r="I106" s="304">
        <v>4266.2799705615689</v>
      </c>
      <c r="J106" s="304">
        <v>290.84405627190205</v>
      </c>
      <c r="K106" s="303">
        <v>4481.1590027655111</v>
      </c>
      <c r="L106" s="303">
        <v>179.2234139900639</v>
      </c>
      <c r="M106" s="304">
        <v>5190.4448741065917</v>
      </c>
      <c r="N106" s="304">
        <v>344.24282560755108</v>
      </c>
      <c r="O106" s="303">
        <v>5169.6277670459513</v>
      </c>
      <c r="P106" s="303">
        <v>234.63493902379909</v>
      </c>
      <c r="Q106" s="304">
        <v>4757.0976338290511</v>
      </c>
      <c r="R106" s="304">
        <v>443.14043348688966</v>
      </c>
      <c r="S106" s="303">
        <v>3614.1792190169554</v>
      </c>
      <c r="T106" s="303">
        <v>249.58285206260345</v>
      </c>
      <c r="U106" s="304">
        <v>3982.2205241309566</v>
      </c>
      <c r="V106" s="304">
        <v>430.72000292715052</v>
      </c>
      <c r="W106" s="303">
        <v>4146.5779151286397</v>
      </c>
      <c r="X106" s="303">
        <v>236.38098708118108</v>
      </c>
      <c r="Y106" s="304">
        <v>4737.9034604759354</v>
      </c>
      <c r="Z106" s="304">
        <v>482.67903421172673</v>
      </c>
      <c r="AA106" s="303">
        <v>3994.1666625474395</v>
      </c>
      <c r="AB106" s="303">
        <v>254.51791820271023</v>
      </c>
      <c r="AC106" s="304">
        <v>3352.6905652196119</v>
      </c>
      <c r="AD106" s="304">
        <v>448.17822769941495</v>
      </c>
      <c r="AE106" s="303">
        <v>4332.0096728113449</v>
      </c>
      <c r="AF106" s="303">
        <v>279.93801399324838</v>
      </c>
      <c r="AG106" s="304">
        <v>3538.7765577693876</v>
      </c>
      <c r="AH106" s="304">
        <v>536.15114993718294</v>
      </c>
      <c r="AI106" s="305">
        <v>2892.4105186552883</v>
      </c>
      <c r="AJ106" s="305">
        <v>298.53230529817034</v>
      </c>
      <c r="AK106" s="304">
        <v>4804.0320258485617</v>
      </c>
      <c r="AL106" s="304">
        <v>485.08558761253329</v>
      </c>
      <c r="AM106" s="303">
        <v>3987.5696819396762</v>
      </c>
      <c r="AN106" s="303">
        <v>215.86791468337657</v>
      </c>
      <c r="AO106" s="304">
        <v>4033.5527533989252</v>
      </c>
      <c r="AP106" s="304">
        <v>595.82039538889194</v>
      </c>
      <c r="AQ106" s="303">
        <v>2566.5760747478912</v>
      </c>
      <c r="AR106" s="303">
        <v>252.24123927019187</v>
      </c>
      <c r="AS106" s="304">
        <v>4482.2090299740421</v>
      </c>
      <c r="AT106" s="304">
        <v>515.13569406850502</v>
      </c>
      <c r="AU106" s="303">
        <v>2649.5869045412705</v>
      </c>
      <c r="AV106" s="303">
        <v>218.51439191808248</v>
      </c>
      <c r="AW106" s="304">
        <v>2911.6377085383551</v>
      </c>
      <c r="AX106" s="304">
        <v>432.48828585711954</v>
      </c>
      <c r="AY106" s="303">
        <v>3852.7828487940274</v>
      </c>
      <c r="AZ106" s="303">
        <v>229.34669767217412</v>
      </c>
      <c r="BA106" s="304">
        <v>5149.8511795799104</v>
      </c>
      <c r="BB106" s="304">
        <v>383.96334857473329</v>
      </c>
      <c r="BC106" s="303">
        <v>3766.1186773756081</v>
      </c>
      <c r="BD106" s="303">
        <v>215.0225653860993</v>
      </c>
      <c r="BE106" s="304">
        <v>3408.5211400976445</v>
      </c>
      <c r="BF106" s="304">
        <v>456.49481335966834</v>
      </c>
      <c r="BG106" s="303">
        <v>2724.7416851906232</v>
      </c>
      <c r="BH106" s="303">
        <v>219.72878763357292</v>
      </c>
      <c r="BI106" s="304">
        <v>2261.8006306252864</v>
      </c>
      <c r="BJ106" s="304">
        <v>273.75509577628003</v>
      </c>
      <c r="BK106" s="303">
        <v>3278.8185806888123</v>
      </c>
      <c r="BL106" s="303">
        <v>159.08709869244902</v>
      </c>
      <c r="BM106" s="304">
        <v>2688.0779008628547</v>
      </c>
      <c r="BN106" s="304">
        <v>342.83669531479836</v>
      </c>
      <c r="BO106" s="303">
        <v>2036.269728266506</v>
      </c>
      <c r="BP106" s="303">
        <v>276.97513887685602</v>
      </c>
      <c r="BQ106" s="304">
        <v>3435.5659611858387</v>
      </c>
      <c r="BR106" s="304">
        <v>461.93600214832497</v>
      </c>
      <c r="BS106" s="303">
        <v>2210.9577845784088</v>
      </c>
      <c r="BT106" s="303">
        <v>234.5667494035323</v>
      </c>
      <c r="BU106" s="304">
        <v>2971.6723419842183</v>
      </c>
      <c r="BV106" s="304">
        <v>523.91838091788895</v>
      </c>
      <c r="BW106" s="303">
        <v>1755.9758152055911</v>
      </c>
      <c r="BX106" s="303">
        <v>1304.1706042478261</v>
      </c>
      <c r="BY106" s="304">
        <v>1806.860480789589</v>
      </c>
      <c r="BZ106" s="304">
        <v>1919.8678186808208</v>
      </c>
      <c r="CA106" s="303">
        <v>1740.4660159475879</v>
      </c>
      <c r="CB106" s="303">
        <v>2023.1942903886472</v>
      </c>
      <c r="CC106" s="304">
        <v>1865.874333850855</v>
      </c>
      <c r="CD106" s="304">
        <v>2027.837950895514</v>
      </c>
      <c r="CE106" s="303">
        <v>2635.3543630058216</v>
      </c>
      <c r="CF106" s="303">
        <v>1993.0477898846784</v>
      </c>
      <c r="CG106" s="304">
        <v>3630.1215220909285</v>
      </c>
      <c r="CH106" s="304">
        <v>1992.0955266207297</v>
      </c>
      <c r="CI106" s="303">
        <v>3256.313405932618</v>
      </c>
      <c r="CJ106" s="303">
        <v>2198.6466491719466</v>
      </c>
      <c r="CK106" s="304">
        <v>3668.7818682771649</v>
      </c>
      <c r="CL106" s="304">
        <v>0.29352573173900964</v>
      </c>
      <c r="CM106" s="303">
        <v>4140.5986084345541</v>
      </c>
      <c r="CN106" s="303">
        <v>0.30688416677230634</v>
      </c>
      <c r="CO106" s="304">
        <v>4140.9654639856089</v>
      </c>
      <c r="CP106" s="304">
        <v>0.11345908032672014</v>
      </c>
      <c r="CQ106" s="303">
        <v>3808.0601844122912</v>
      </c>
      <c r="CR106" s="303">
        <v>0.12313769057982427</v>
      </c>
      <c r="CS106" s="304">
        <v>3820.4622997767656</v>
      </c>
      <c r="CT106" s="304">
        <v>0.11674956359502175</v>
      </c>
      <c r="CU106" s="303">
        <v>4914.0972975683453</v>
      </c>
      <c r="CV106" s="303">
        <v>0.12301742803720117</v>
      </c>
      <c r="CW106" s="304">
        <v>3191.6885794338104</v>
      </c>
      <c r="CX106" s="304">
        <v>0.11471653789703851</v>
      </c>
      <c r="CY106" s="303">
        <v>3446.5748802658491</v>
      </c>
      <c r="CZ106" s="303">
        <v>0.11469601813769259</v>
      </c>
      <c r="DA106" s="304">
        <v>3705.0599898896789</v>
      </c>
      <c r="DB106" s="304">
        <v>0.11607774053300091</v>
      </c>
    </row>
    <row r="107" spans="2:106" ht="14.25" customHeight="1" x14ac:dyDescent="0.25">
      <c r="B107" s="443" t="s">
        <v>761</v>
      </c>
      <c r="C107" s="272"/>
      <c r="D107" s="272"/>
      <c r="E107" s="272"/>
      <c r="G107" s="303">
        <v>1205.4598064033601</v>
      </c>
      <c r="H107" s="303">
        <v>3700.9741250282586</v>
      </c>
      <c r="I107" s="304">
        <v>1041.4944464448236</v>
      </c>
      <c r="J107" s="304">
        <v>3883.6197585623167</v>
      </c>
      <c r="K107" s="303">
        <v>1292.8254832637774</v>
      </c>
      <c r="L107" s="303">
        <v>3479.5145667376687</v>
      </c>
      <c r="M107" s="304">
        <v>1413.5118610640834</v>
      </c>
      <c r="N107" s="304">
        <v>3890.3352624434119</v>
      </c>
      <c r="O107" s="303">
        <v>1290.0955130869129</v>
      </c>
      <c r="P107" s="303">
        <v>4043.9917396488527</v>
      </c>
      <c r="Q107" s="304">
        <v>1505.1442323153397</v>
      </c>
      <c r="R107" s="304">
        <v>4746.5981926298373</v>
      </c>
      <c r="S107" s="303">
        <v>1658.7768940105339</v>
      </c>
      <c r="T107" s="303">
        <v>5058.6424635414214</v>
      </c>
      <c r="U107" s="304">
        <v>1587.5079966192973</v>
      </c>
      <c r="V107" s="304">
        <v>5202.1954031518326</v>
      </c>
      <c r="W107" s="303">
        <v>1573.0045020267853</v>
      </c>
      <c r="X107" s="303">
        <v>5105.8153433375401</v>
      </c>
      <c r="Y107" s="304">
        <v>1871.2319382933636</v>
      </c>
      <c r="Z107" s="304">
        <v>5762.4590038161859</v>
      </c>
      <c r="AA107" s="303">
        <v>1901.6070821264771</v>
      </c>
      <c r="AB107" s="303">
        <v>5636.496925509</v>
      </c>
      <c r="AC107" s="304">
        <v>1929.4769782518415</v>
      </c>
      <c r="AD107" s="304">
        <v>5643.3610393995395</v>
      </c>
      <c r="AE107" s="303">
        <v>2421.9816232510102</v>
      </c>
      <c r="AF107" s="303">
        <v>5380.8993033244988</v>
      </c>
      <c r="AG107" s="304">
        <v>2242.614838640387</v>
      </c>
      <c r="AH107" s="304">
        <v>5247.0885183747059</v>
      </c>
      <c r="AI107" s="305">
        <v>1831.4724307711028</v>
      </c>
      <c r="AJ107" s="305">
        <v>5397.2104981495486</v>
      </c>
      <c r="AK107" s="304">
        <v>1829.1699022811868</v>
      </c>
      <c r="AL107" s="304">
        <v>5516.9401783739031</v>
      </c>
      <c r="AM107" s="303">
        <v>2041.0248987864952</v>
      </c>
      <c r="AN107" s="303">
        <v>4908.7082629413881</v>
      </c>
      <c r="AO107" s="304">
        <v>2239.5202740759405</v>
      </c>
      <c r="AP107" s="304">
        <v>5140.3707838852242</v>
      </c>
      <c r="AQ107" s="303">
        <v>2069.0814055049477</v>
      </c>
      <c r="AR107" s="303">
        <v>5107.81068857217</v>
      </c>
      <c r="AS107" s="304">
        <v>1916.8170932545363</v>
      </c>
      <c r="AT107" s="304">
        <v>4627.3225400827878</v>
      </c>
      <c r="AU107" s="303">
        <v>2035.8124019900808</v>
      </c>
      <c r="AV107" s="303">
        <v>5164.2644405674246</v>
      </c>
      <c r="AW107" s="304">
        <v>2156.894254903229</v>
      </c>
      <c r="AX107" s="304">
        <v>5352.6032694151781</v>
      </c>
      <c r="AY107" s="303">
        <v>2236.2207273771187</v>
      </c>
      <c r="AZ107" s="303">
        <v>5305.4720164566506</v>
      </c>
      <c r="BA107" s="304">
        <v>2095.0780809007915</v>
      </c>
      <c r="BB107" s="304">
        <v>4902.1436701546181</v>
      </c>
      <c r="BC107" s="303">
        <v>2362.9980452104496</v>
      </c>
      <c r="BD107" s="303">
        <v>5187.6418127355682</v>
      </c>
      <c r="BE107" s="304">
        <v>2351.6192578982059</v>
      </c>
      <c r="BF107" s="304">
        <v>5518.8255940926483</v>
      </c>
      <c r="BG107" s="303">
        <v>2917.6417200025376</v>
      </c>
      <c r="BH107" s="303">
        <v>6176.0157778781168</v>
      </c>
      <c r="BI107" s="304">
        <v>2617.6987851201861</v>
      </c>
      <c r="BJ107" s="304">
        <v>5669.9065078573149</v>
      </c>
      <c r="BK107" s="303">
        <v>2418.8282787473199</v>
      </c>
      <c r="BL107" s="303">
        <v>5735.8293860687027</v>
      </c>
      <c r="BM107" s="304">
        <v>2642.6761741980986</v>
      </c>
      <c r="BN107" s="304">
        <v>5507.1991886031083</v>
      </c>
      <c r="BO107" s="303">
        <v>2345.4091779721452</v>
      </c>
      <c r="BP107" s="303">
        <v>5257.4642128558662</v>
      </c>
      <c r="BQ107" s="304">
        <v>2724.2132848032415</v>
      </c>
      <c r="BR107" s="304">
        <v>5352.628894417905</v>
      </c>
      <c r="BS107" s="303">
        <v>3202.8404808143782</v>
      </c>
      <c r="BT107" s="303">
        <v>6265.2219128472525</v>
      </c>
      <c r="BU107" s="304">
        <v>2718.9565452122083</v>
      </c>
      <c r="BV107" s="304">
        <v>5978.5439419508748</v>
      </c>
      <c r="BW107" s="303">
        <v>3260.7042042776629</v>
      </c>
      <c r="BX107" s="303">
        <v>5742.8816646149271</v>
      </c>
      <c r="BY107" s="304">
        <v>3518.036668833523</v>
      </c>
      <c r="BZ107" s="304">
        <v>5070.3708296467103</v>
      </c>
      <c r="CA107" s="303">
        <v>3827.8190943762825</v>
      </c>
      <c r="CB107" s="303">
        <v>5162.2453517357844</v>
      </c>
      <c r="CC107" s="304">
        <v>3802.7964144628827</v>
      </c>
      <c r="CD107" s="304">
        <v>4546.8131805600342</v>
      </c>
      <c r="CE107" s="303">
        <v>3972.5986356404933</v>
      </c>
      <c r="CF107" s="303">
        <v>4068.0241658264113</v>
      </c>
      <c r="CG107" s="304">
        <v>4002.8929996204633</v>
      </c>
      <c r="CH107" s="304">
        <v>4246.9612259663008</v>
      </c>
      <c r="CI107" s="303">
        <v>4491.0074482990685</v>
      </c>
      <c r="CJ107" s="303">
        <v>4337.2140622552688</v>
      </c>
      <c r="CK107" s="304">
        <v>4048.8481286825845</v>
      </c>
      <c r="CL107" s="304">
        <v>4357.1271816349035</v>
      </c>
      <c r="CM107" s="303">
        <v>3725.0547319473212</v>
      </c>
      <c r="CN107" s="303">
        <v>4389.0758537499933</v>
      </c>
      <c r="CO107" s="304">
        <v>3816.6612006850346</v>
      </c>
      <c r="CP107" s="304">
        <v>4397.4977399200725</v>
      </c>
      <c r="CQ107" s="303">
        <v>3983.2718906424961</v>
      </c>
      <c r="CR107" s="303">
        <v>4542.4663017311932</v>
      </c>
      <c r="CS107" s="304">
        <v>3641.5149293013656</v>
      </c>
      <c r="CT107" s="304">
        <v>4534.9602635020337</v>
      </c>
      <c r="CU107" s="303">
        <v>4248.5424193811868</v>
      </c>
      <c r="CV107" s="303">
        <v>4831.0544443278841</v>
      </c>
      <c r="CW107" s="304">
        <v>4265.549960330809</v>
      </c>
      <c r="CX107" s="304">
        <v>4855.4728947012445</v>
      </c>
      <c r="CY107" s="303">
        <v>4419.6062140146696</v>
      </c>
      <c r="CZ107" s="303">
        <v>4868.6655931032892</v>
      </c>
      <c r="DA107" s="304">
        <v>4584.7631399861712</v>
      </c>
      <c r="DB107" s="304">
        <v>5155.6883236058538</v>
      </c>
    </row>
    <row r="108" spans="2:106" ht="14.25" customHeight="1" x14ac:dyDescent="0.25">
      <c r="B108" s="443" t="s">
        <v>762</v>
      </c>
      <c r="C108" s="272"/>
      <c r="D108" s="272"/>
      <c r="E108" s="272"/>
      <c r="G108" s="303">
        <v>131.5537279161816</v>
      </c>
      <c r="H108" s="303">
        <v>1909.7182467996774</v>
      </c>
      <c r="I108" s="304">
        <v>342.06118269661096</v>
      </c>
      <c r="J108" s="304">
        <v>3132.4096181979016</v>
      </c>
      <c r="K108" s="303">
        <v>413.09802102503625</v>
      </c>
      <c r="L108" s="303">
        <v>3170.5877944182084</v>
      </c>
      <c r="M108" s="304">
        <v>506.87866349976679</v>
      </c>
      <c r="N108" s="304">
        <v>3447.4103788166544</v>
      </c>
      <c r="O108" s="303">
        <v>600.65930597449744</v>
      </c>
      <c r="P108" s="303">
        <v>3614.1032848206601</v>
      </c>
      <c r="Q108" s="304">
        <v>694.43994844922815</v>
      </c>
      <c r="R108" s="304">
        <v>3543.6969493758293</v>
      </c>
      <c r="S108" s="303">
        <v>471.16212760091628</v>
      </c>
      <c r="T108" s="303">
        <v>3194.5864831948443</v>
      </c>
      <c r="U108" s="304">
        <v>507.71180409957742</v>
      </c>
      <c r="V108" s="304">
        <v>3485.082542498606</v>
      </c>
      <c r="W108" s="303">
        <v>544.26148059823856</v>
      </c>
      <c r="X108" s="303">
        <v>3090.4168386405413</v>
      </c>
      <c r="Y108" s="304">
        <v>580.81115709689971</v>
      </c>
      <c r="Z108" s="304">
        <v>2867.024509844266</v>
      </c>
      <c r="AA108" s="303">
        <v>699.97314707341582</v>
      </c>
      <c r="AB108" s="303">
        <v>2277.816089722246</v>
      </c>
      <c r="AC108" s="304">
        <v>671.31852537101213</v>
      </c>
      <c r="AD108" s="304">
        <v>2393.7422060909676</v>
      </c>
      <c r="AE108" s="303">
        <v>642.66390366860844</v>
      </c>
      <c r="AF108" s="303">
        <v>2865.0379576397954</v>
      </c>
      <c r="AG108" s="304">
        <v>614.00928196620475</v>
      </c>
      <c r="AH108" s="304">
        <v>2899.7422180059566</v>
      </c>
      <c r="AI108" s="305">
        <v>879.34554852817053</v>
      </c>
      <c r="AJ108" s="305">
        <v>3255.888165720839</v>
      </c>
      <c r="AK108" s="304">
        <v>883.80998687160081</v>
      </c>
      <c r="AL108" s="304">
        <v>3553.4199083330836</v>
      </c>
      <c r="AM108" s="303">
        <v>888.2744252150311</v>
      </c>
      <c r="AN108" s="303">
        <v>3217.1451544120077</v>
      </c>
      <c r="AO108" s="304">
        <v>892.73886355846139</v>
      </c>
      <c r="AP108" s="304">
        <v>3463.6337785706405</v>
      </c>
      <c r="AQ108" s="303">
        <v>942.40685305609952</v>
      </c>
      <c r="AR108" s="303">
        <v>3805.3898723219454</v>
      </c>
      <c r="AS108" s="304">
        <v>988.99021549784993</v>
      </c>
      <c r="AT108" s="304">
        <v>3604.9604861356406</v>
      </c>
      <c r="AU108" s="303">
        <v>1035.5735779396005</v>
      </c>
      <c r="AV108" s="303">
        <v>3585.7114221330103</v>
      </c>
      <c r="AW108" s="304">
        <v>1082.1569403813512</v>
      </c>
      <c r="AX108" s="304">
        <v>2996.5844162774961</v>
      </c>
      <c r="AY108" s="303">
        <v>1083.152729959658</v>
      </c>
      <c r="AZ108" s="303">
        <v>2901.0471773744803</v>
      </c>
      <c r="BA108" s="304">
        <v>1084.1485195379648</v>
      </c>
      <c r="BB108" s="304">
        <v>2916.8092366106521</v>
      </c>
      <c r="BC108" s="303">
        <v>1085.1443091162716</v>
      </c>
      <c r="BD108" s="303">
        <v>3226.4657218884663</v>
      </c>
      <c r="BE108" s="304">
        <v>1086.1400986945785</v>
      </c>
      <c r="BF108" s="304">
        <v>3205.236056189513</v>
      </c>
      <c r="BG108" s="303">
        <v>1027.9445528320784</v>
      </c>
      <c r="BH108" s="303">
        <v>2699.7776465844045</v>
      </c>
      <c r="BI108" s="304">
        <v>969.74900696957843</v>
      </c>
      <c r="BJ108" s="304">
        <v>2519.7585039756791</v>
      </c>
      <c r="BK108" s="303">
        <v>911.55346110707842</v>
      </c>
      <c r="BL108" s="303">
        <v>2822.5797482454409</v>
      </c>
      <c r="BM108" s="304">
        <v>853.35791524457841</v>
      </c>
      <c r="BN108" s="304">
        <v>3208.2798667790803</v>
      </c>
      <c r="BO108" s="303">
        <v>918.10791524457954</v>
      </c>
      <c r="BP108" s="303">
        <v>3289.6978513882432</v>
      </c>
      <c r="BQ108" s="304">
        <v>983.10791524457977</v>
      </c>
      <c r="BR108" s="304">
        <v>3215.5068233613065</v>
      </c>
      <c r="BS108" s="303">
        <v>1048.10791524458</v>
      </c>
      <c r="BT108" s="303">
        <v>3494.8947341528688</v>
      </c>
      <c r="BU108" s="304">
        <v>1113.1079152445802</v>
      </c>
      <c r="BV108" s="304">
        <v>3056.8549487530163</v>
      </c>
      <c r="BW108" s="303">
        <v>1190.5088468195802</v>
      </c>
      <c r="BX108" s="303">
        <v>2152.9355086347905</v>
      </c>
      <c r="BY108" s="304">
        <v>1267.9097783945801</v>
      </c>
      <c r="BZ108" s="304">
        <v>1774.9201718681475</v>
      </c>
      <c r="CA108" s="303">
        <v>1345.3107099695801</v>
      </c>
      <c r="CB108" s="303">
        <v>1672.3126715731221</v>
      </c>
      <c r="CC108" s="304">
        <v>1422.7116415445801</v>
      </c>
      <c r="CD108" s="304">
        <v>1351.5460950662787</v>
      </c>
      <c r="CE108" s="303">
        <v>1402.7116415445798</v>
      </c>
      <c r="CF108" s="303">
        <v>1453.5185213343655</v>
      </c>
      <c r="CG108" s="304">
        <v>1326.9116415445799</v>
      </c>
      <c r="CH108" s="304">
        <v>1401.5672634579259</v>
      </c>
      <c r="CI108" s="303">
        <v>1436.7116415445796</v>
      </c>
      <c r="CJ108" s="303">
        <v>1381.3670765399602</v>
      </c>
      <c r="CK108" s="304">
        <v>1562.7116415445796</v>
      </c>
      <c r="CL108" s="304">
        <v>1243.5866886415104</v>
      </c>
      <c r="CM108" s="303">
        <v>1649.2116415445794</v>
      </c>
      <c r="CN108" s="303">
        <v>1471.2977279157813</v>
      </c>
      <c r="CO108" s="304">
        <v>1654.7116415445792</v>
      </c>
      <c r="CP108" s="304">
        <v>2099.5851474696965</v>
      </c>
      <c r="CQ108" s="303">
        <v>1705.7116415445792</v>
      </c>
      <c r="CR108" s="303">
        <v>2023.0804916633726</v>
      </c>
      <c r="CS108" s="304">
        <v>1612.7116415445792</v>
      </c>
      <c r="CT108" s="304">
        <v>1353.2505218359261</v>
      </c>
      <c r="CU108" s="303">
        <v>1722.9416415445792</v>
      </c>
      <c r="CV108" s="303">
        <v>1329.6714939499902</v>
      </c>
      <c r="CW108" s="304">
        <v>1790.9416415445794</v>
      </c>
      <c r="CX108" s="304">
        <v>1411.1146749042623</v>
      </c>
      <c r="CY108" s="303">
        <v>1872.7116415445794</v>
      </c>
      <c r="CZ108" s="303">
        <v>1612.8027011431047</v>
      </c>
      <c r="DA108" s="304">
        <v>1967.7116415445796</v>
      </c>
      <c r="DB108" s="304">
        <v>1506.3770581095152</v>
      </c>
    </row>
    <row r="109" spans="2:106" ht="11.25" customHeight="1" x14ac:dyDescent="0.25">
      <c r="B109" s="445"/>
      <c r="C109" s="272"/>
      <c r="D109" s="272"/>
      <c r="E109" s="272"/>
      <c r="G109" s="303"/>
      <c r="H109" s="303"/>
      <c r="I109" s="304"/>
      <c r="J109" s="304"/>
      <c r="K109" s="303"/>
      <c r="L109" s="303"/>
      <c r="M109" s="304"/>
      <c r="N109" s="304"/>
      <c r="O109" s="303"/>
      <c r="P109" s="303"/>
      <c r="Q109" s="304"/>
      <c r="R109" s="304"/>
      <c r="S109" s="303"/>
      <c r="T109" s="303"/>
      <c r="U109" s="304"/>
      <c r="V109" s="304"/>
      <c r="W109" s="303"/>
      <c r="X109" s="303"/>
      <c r="Y109" s="304"/>
      <c r="Z109" s="304"/>
      <c r="AA109" s="303"/>
      <c r="AB109" s="303"/>
      <c r="AC109" s="304"/>
      <c r="AD109" s="304"/>
      <c r="AE109" s="303"/>
      <c r="AF109" s="303"/>
      <c r="AG109" s="304"/>
      <c r="AH109" s="304"/>
      <c r="AI109" s="305"/>
      <c r="AJ109" s="305"/>
      <c r="AK109" s="304"/>
      <c r="AL109" s="304"/>
      <c r="AM109" s="303"/>
      <c r="AN109" s="303"/>
      <c r="AO109" s="304"/>
      <c r="AP109" s="304"/>
      <c r="AQ109" s="303"/>
      <c r="AR109" s="303"/>
      <c r="AS109" s="304"/>
      <c r="AT109" s="304"/>
      <c r="AU109" s="303"/>
      <c r="AV109" s="303"/>
      <c r="AW109" s="304"/>
      <c r="AX109" s="304"/>
      <c r="AY109" s="303"/>
      <c r="AZ109" s="303"/>
      <c r="BA109" s="304"/>
      <c r="BB109" s="304"/>
      <c r="BC109" s="303"/>
      <c r="BD109" s="303"/>
      <c r="BE109" s="304"/>
      <c r="BF109" s="304"/>
      <c r="BG109" s="303"/>
      <c r="BH109" s="303"/>
      <c r="BI109" s="304"/>
      <c r="BJ109" s="304"/>
      <c r="BK109" s="303"/>
      <c r="BL109" s="303"/>
      <c r="BM109" s="304"/>
      <c r="BN109" s="304"/>
      <c r="BO109" s="303"/>
      <c r="BP109" s="303"/>
      <c r="BQ109" s="304"/>
      <c r="BR109" s="304"/>
      <c r="BS109" s="303"/>
      <c r="BT109" s="303"/>
      <c r="BU109" s="304"/>
      <c r="BV109" s="304"/>
      <c r="BW109" s="303"/>
      <c r="BX109" s="303"/>
      <c r="BY109" s="304"/>
      <c r="BZ109" s="304"/>
      <c r="CA109" s="303"/>
      <c r="CB109" s="303"/>
      <c r="CC109" s="304"/>
      <c r="CD109" s="304"/>
      <c r="CE109" s="303"/>
      <c r="CF109" s="303"/>
      <c r="CG109" s="304"/>
      <c r="CH109" s="304"/>
      <c r="CI109" s="303"/>
      <c r="CJ109" s="303"/>
      <c r="CK109" s="304"/>
      <c r="CL109" s="304"/>
      <c r="CM109" s="303"/>
      <c r="CN109" s="303"/>
      <c r="CO109" s="304"/>
      <c r="CP109" s="304"/>
      <c r="CQ109" s="303"/>
      <c r="CR109" s="303"/>
      <c r="CS109" s="304"/>
      <c r="CT109" s="304"/>
      <c r="CU109" s="303"/>
      <c r="CV109" s="303"/>
      <c r="CW109" s="304"/>
      <c r="CX109" s="304"/>
      <c r="CY109" s="303"/>
      <c r="CZ109" s="303"/>
      <c r="DA109" s="304"/>
      <c r="DB109" s="304"/>
    </row>
    <row r="110" spans="2:106" ht="14.25" customHeight="1" x14ac:dyDescent="0.25">
      <c r="B110" s="447" t="s">
        <v>598</v>
      </c>
      <c r="C110" s="272"/>
      <c r="D110" s="272"/>
      <c r="E110" s="272"/>
      <c r="G110" s="298">
        <v>5039.4186905740798</v>
      </c>
      <c r="H110" s="298">
        <v>29073.178942537317</v>
      </c>
      <c r="I110" s="299">
        <v>3802.481228340966</v>
      </c>
      <c r="J110" s="299">
        <v>39994.266237826443</v>
      </c>
      <c r="K110" s="298">
        <v>4271.4615853356827</v>
      </c>
      <c r="L110" s="298">
        <v>42107.456220991153</v>
      </c>
      <c r="M110" s="299">
        <v>4638.8949321528717</v>
      </c>
      <c r="N110" s="299">
        <v>43428.687241708103</v>
      </c>
      <c r="O110" s="298">
        <v>4287.2615484079233</v>
      </c>
      <c r="P110" s="298">
        <v>43730.743806187573</v>
      </c>
      <c r="Q110" s="299">
        <v>4229.0936822273243</v>
      </c>
      <c r="R110" s="299">
        <v>43678.993787440391</v>
      </c>
      <c r="S110" s="298">
        <v>3934.1234990895559</v>
      </c>
      <c r="T110" s="298">
        <v>42688.300195215677</v>
      </c>
      <c r="U110" s="299">
        <v>4295.0951006000087</v>
      </c>
      <c r="V110" s="299">
        <v>43199.508631456774</v>
      </c>
      <c r="W110" s="298">
        <v>3365.9750677202755</v>
      </c>
      <c r="X110" s="298">
        <v>42437.720874572326</v>
      </c>
      <c r="Y110" s="299">
        <v>3544.2320989748837</v>
      </c>
      <c r="Z110" s="299">
        <v>44594.661346711182</v>
      </c>
      <c r="AA110" s="298">
        <v>3204.2726248698855</v>
      </c>
      <c r="AB110" s="298">
        <v>44748.604649984176</v>
      </c>
      <c r="AC110" s="299">
        <v>2989.7379060904532</v>
      </c>
      <c r="AD110" s="299">
        <v>44805.254536844892</v>
      </c>
      <c r="AE110" s="298">
        <v>3376.375283481565</v>
      </c>
      <c r="AF110" s="298">
        <v>47503.868181777209</v>
      </c>
      <c r="AG110" s="299">
        <v>3870.5544303238171</v>
      </c>
      <c r="AH110" s="299">
        <v>46094.722989766567</v>
      </c>
      <c r="AI110" s="300">
        <v>3686.2682665119755</v>
      </c>
      <c r="AJ110" s="300">
        <v>45578.786896987862</v>
      </c>
      <c r="AK110" s="299">
        <v>3804.7803263339538</v>
      </c>
      <c r="AL110" s="299">
        <v>48224.021506350386</v>
      </c>
      <c r="AM110" s="298">
        <v>4939.1302222191853</v>
      </c>
      <c r="AN110" s="298">
        <v>49804.531925275282</v>
      </c>
      <c r="AO110" s="299">
        <v>5538.0996214540137</v>
      </c>
      <c r="AP110" s="299">
        <v>51194.010934450576</v>
      </c>
      <c r="AQ110" s="298">
        <v>6329.4840413463235</v>
      </c>
      <c r="AR110" s="298">
        <v>52009.486929563267</v>
      </c>
      <c r="AS110" s="299">
        <v>6322.8203245252034</v>
      </c>
      <c r="AT110" s="299">
        <v>54050.056084641823</v>
      </c>
      <c r="AU110" s="298">
        <v>6369.5923385677443</v>
      </c>
      <c r="AV110" s="298">
        <v>52855.693276344799</v>
      </c>
      <c r="AW110" s="299">
        <v>5946.9218390507049</v>
      </c>
      <c r="AX110" s="299">
        <v>52548.35523253549</v>
      </c>
      <c r="AY110" s="298">
        <v>5868.7621611176382</v>
      </c>
      <c r="AZ110" s="298">
        <v>54686.389375911327</v>
      </c>
      <c r="BA110" s="299">
        <v>5721.9850443857886</v>
      </c>
      <c r="BB110" s="299">
        <v>55950.830649024829</v>
      </c>
      <c r="BC110" s="298">
        <v>5714.1934975195254</v>
      </c>
      <c r="BD110" s="298">
        <v>55581.660372886254</v>
      </c>
      <c r="BE110" s="299">
        <v>6139.0274813819497</v>
      </c>
      <c r="BF110" s="299">
        <v>54848.665218915186</v>
      </c>
      <c r="BG110" s="298">
        <v>6543.3920256007468</v>
      </c>
      <c r="BH110" s="298">
        <v>48448.984828472094</v>
      </c>
      <c r="BI110" s="299">
        <v>6135.9672834417952</v>
      </c>
      <c r="BJ110" s="299">
        <v>49815.530472295257</v>
      </c>
      <c r="BK110" s="298">
        <v>5017.0154746106291</v>
      </c>
      <c r="BL110" s="298">
        <v>50628.715829740751</v>
      </c>
      <c r="BM110" s="299">
        <v>4698.5668224827832</v>
      </c>
      <c r="BN110" s="299">
        <v>49512.229520146793</v>
      </c>
      <c r="BO110" s="298">
        <v>3642.6084690627154</v>
      </c>
      <c r="BP110" s="298">
        <v>49943.172502529182</v>
      </c>
      <c r="BQ110" s="299">
        <v>2179.2178296199695</v>
      </c>
      <c r="BR110" s="299">
        <v>51378.035026108162</v>
      </c>
      <c r="BS110" s="298">
        <v>2249.9245359376323</v>
      </c>
      <c r="BT110" s="298">
        <v>52426.20161235366</v>
      </c>
      <c r="BU110" s="299">
        <v>1953.8101557513855</v>
      </c>
      <c r="BV110" s="299">
        <v>54406.928851651006</v>
      </c>
      <c r="BW110" s="298">
        <v>1865.8884798706015</v>
      </c>
      <c r="BX110" s="298">
        <v>50581.530043175459</v>
      </c>
      <c r="BY110" s="299">
        <v>1723.7447290596726</v>
      </c>
      <c r="BZ110" s="299">
        <v>48511.119527483264</v>
      </c>
      <c r="CA110" s="298">
        <v>1944.1000972796824</v>
      </c>
      <c r="CB110" s="298">
        <v>48514.058202432207</v>
      </c>
      <c r="CC110" s="299">
        <v>1738.5860182877755</v>
      </c>
      <c r="CD110" s="299">
        <v>50144.91301296906</v>
      </c>
      <c r="CE110" s="298">
        <v>1764.3696473211339</v>
      </c>
      <c r="CF110" s="298">
        <v>52168.806187273229</v>
      </c>
      <c r="CG110" s="299">
        <v>1968.0256529248104</v>
      </c>
      <c r="CH110" s="299">
        <v>53357.074803581483</v>
      </c>
      <c r="CI110" s="298">
        <v>2528.0212411736347</v>
      </c>
      <c r="CJ110" s="298">
        <v>53537.509700112438</v>
      </c>
      <c r="CK110" s="299">
        <v>3244.1732500307007</v>
      </c>
      <c r="CL110" s="299">
        <v>57598.717403012779</v>
      </c>
      <c r="CM110" s="298">
        <v>3661.2650096342386</v>
      </c>
      <c r="CN110" s="298">
        <v>58650.25435916541</v>
      </c>
      <c r="CO110" s="299">
        <v>4457.5467336358497</v>
      </c>
      <c r="CP110" s="299">
        <v>59073.86286653061</v>
      </c>
      <c r="CQ110" s="298">
        <v>5142.5449925419007</v>
      </c>
      <c r="CR110" s="298">
        <v>59696.841689360073</v>
      </c>
      <c r="CS110" s="299">
        <v>5466.9349946032444</v>
      </c>
      <c r="CT110" s="299">
        <v>60189.971686573583</v>
      </c>
      <c r="CU110" s="298">
        <v>4907.9583059759771</v>
      </c>
      <c r="CV110" s="298">
        <v>58522.779241692493</v>
      </c>
      <c r="CW110" s="299">
        <v>6034.9058636093005</v>
      </c>
      <c r="CX110" s="299">
        <v>58575.528626033964</v>
      </c>
      <c r="CY110" s="298">
        <v>5556.7159948257158</v>
      </c>
      <c r="CZ110" s="298">
        <v>59307.411439186435</v>
      </c>
      <c r="DA110" s="299">
        <v>5812.8466735685979</v>
      </c>
      <c r="DB110" s="299">
        <v>60321.758829979299</v>
      </c>
    </row>
    <row r="111" spans="2:106" ht="14.25" customHeight="1" x14ac:dyDescent="0.25">
      <c r="B111" s="443" t="s">
        <v>544</v>
      </c>
      <c r="C111" s="272"/>
      <c r="D111" s="272"/>
      <c r="E111" s="272"/>
      <c r="G111" s="303">
        <v>0</v>
      </c>
      <c r="H111" s="303">
        <v>21547.368048040094</v>
      </c>
      <c r="I111" s="304">
        <v>0</v>
      </c>
      <c r="J111" s="304">
        <v>21782.804655206593</v>
      </c>
      <c r="K111" s="303">
        <v>0</v>
      </c>
      <c r="L111" s="303">
        <v>23882.263131228963</v>
      </c>
      <c r="M111" s="304">
        <v>0</v>
      </c>
      <c r="N111" s="304">
        <v>24869.76965968384</v>
      </c>
      <c r="O111" s="303">
        <v>0</v>
      </c>
      <c r="P111" s="303">
        <v>24191.836235488179</v>
      </c>
      <c r="Q111" s="304">
        <v>0</v>
      </c>
      <c r="R111" s="304">
        <v>23733.284887313428</v>
      </c>
      <c r="S111" s="303">
        <v>0</v>
      </c>
      <c r="T111" s="303">
        <v>23140.312126392069</v>
      </c>
      <c r="U111" s="304">
        <v>0</v>
      </c>
      <c r="V111" s="304">
        <v>24121.728968532334</v>
      </c>
      <c r="W111" s="303">
        <v>0</v>
      </c>
      <c r="X111" s="303">
        <v>23451.712184515971</v>
      </c>
      <c r="Y111" s="304">
        <v>0</v>
      </c>
      <c r="Z111" s="304">
        <v>24647.408701934386</v>
      </c>
      <c r="AA111" s="303">
        <v>0</v>
      </c>
      <c r="AB111" s="303">
        <v>24670.794081442986</v>
      </c>
      <c r="AC111" s="304">
        <v>0</v>
      </c>
      <c r="AD111" s="304">
        <v>25173.845454526887</v>
      </c>
      <c r="AE111" s="303">
        <v>0</v>
      </c>
      <c r="AF111" s="303">
        <v>28215.152206561324</v>
      </c>
      <c r="AG111" s="304">
        <v>0</v>
      </c>
      <c r="AH111" s="304">
        <v>27117.508549809543</v>
      </c>
      <c r="AI111" s="305">
        <v>0</v>
      </c>
      <c r="AJ111" s="305">
        <v>27207.030312124538</v>
      </c>
      <c r="AK111" s="304">
        <v>0</v>
      </c>
      <c r="AL111" s="304">
        <v>29552.984753297467</v>
      </c>
      <c r="AM111" s="303">
        <v>0</v>
      </c>
      <c r="AN111" s="303">
        <v>30873.379163851168</v>
      </c>
      <c r="AO111" s="304">
        <v>0</v>
      </c>
      <c r="AP111" s="304">
        <v>31188.239581550475</v>
      </c>
      <c r="AQ111" s="303">
        <v>0</v>
      </c>
      <c r="AR111" s="303">
        <v>31458.072986856067</v>
      </c>
      <c r="AS111" s="304">
        <v>0</v>
      </c>
      <c r="AT111" s="304">
        <v>32540.73382139059</v>
      </c>
      <c r="AU111" s="303">
        <v>0</v>
      </c>
      <c r="AV111" s="303">
        <v>32199.809342993318</v>
      </c>
      <c r="AW111" s="304">
        <v>0</v>
      </c>
      <c r="AX111" s="304">
        <v>31951.807565145449</v>
      </c>
      <c r="AY111" s="303">
        <v>0</v>
      </c>
      <c r="AZ111" s="303">
        <v>34465.557951157563</v>
      </c>
      <c r="BA111" s="304">
        <v>0</v>
      </c>
      <c r="BB111" s="304">
        <v>35463.123704877245</v>
      </c>
      <c r="BC111" s="303">
        <v>0</v>
      </c>
      <c r="BD111" s="303">
        <v>35051.512192791808</v>
      </c>
      <c r="BE111" s="304">
        <v>0</v>
      </c>
      <c r="BF111" s="304">
        <v>34130.46824725686</v>
      </c>
      <c r="BG111" s="303">
        <v>0</v>
      </c>
      <c r="BH111" s="303">
        <v>28670.87236920221</v>
      </c>
      <c r="BI111" s="304">
        <v>0</v>
      </c>
      <c r="BJ111" s="304">
        <v>29856.252203532487</v>
      </c>
      <c r="BK111" s="303">
        <v>0</v>
      </c>
      <c r="BL111" s="303">
        <v>30018.864500653741</v>
      </c>
      <c r="BM111" s="304">
        <v>0</v>
      </c>
      <c r="BN111" s="304">
        <v>28182.96798683962</v>
      </c>
      <c r="BO111" s="303">
        <v>0</v>
      </c>
      <c r="BP111" s="303">
        <v>28610.494751710008</v>
      </c>
      <c r="BQ111" s="304">
        <v>0</v>
      </c>
      <c r="BR111" s="304">
        <v>29779.032562727909</v>
      </c>
      <c r="BS111" s="303">
        <v>0</v>
      </c>
      <c r="BT111" s="303">
        <v>28685.276251444688</v>
      </c>
      <c r="BU111" s="304">
        <v>0</v>
      </c>
      <c r="BV111" s="304">
        <v>27554.870969791289</v>
      </c>
      <c r="BW111" s="303">
        <v>0</v>
      </c>
      <c r="BX111" s="303">
        <v>26517.784246570245</v>
      </c>
      <c r="BY111" s="304">
        <v>0</v>
      </c>
      <c r="BZ111" s="304">
        <v>25141.392120139757</v>
      </c>
      <c r="CA111" s="303">
        <v>0</v>
      </c>
      <c r="CB111" s="303">
        <v>24446.062864820702</v>
      </c>
      <c r="CC111" s="304">
        <v>0</v>
      </c>
      <c r="CD111" s="304">
        <v>27487.598171343514</v>
      </c>
      <c r="CE111" s="303">
        <v>0</v>
      </c>
      <c r="CF111" s="303">
        <v>29220.857623780212</v>
      </c>
      <c r="CG111" s="304">
        <v>0</v>
      </c>
      <c r="CH111" s="304">
        <v>30568.355094652274</v>
      </c>
      <c r="CI111" s="303">
        <v>0</v>
      </c>
      <c r="CJ111" s="303">
        <v>30948.722434676063</v>
      </c>
      <c r="CK111" s="304">
        <v>0</v>
      </c>
      <c r="CL111" s="304">
        <v>32906.646506030331</v>
      </c>
      <c r="CM111" s="303">
        <v>0</v>
      </c>
      <c r="CN111" s="303">
        <v>33844.984038380731</v>
      </c>
      <c r="CO111" s="304">
        <v>0</v>
      </c>
      <c r="CP111" s="304">
        <v>34304.979204654635</v>
      </c>
      <c r="CQ111" s="303">
        <v>0</v>
      </c>
      <c r="CR111" s="303">
        <v>34974.553893232922</v>
      </c>
      <c r="CS111" s="304">
        <v>0</v>
      </c>
      <c r="CT111" s="304">
        <v>35606.137185224041</v>
      </c>
      <c r="CU111" s="303">
        <v>0</v>
      </c>
      <c r="CV111" s="303">
        <v>34082.74734017974</v>
      </c>
      <c r="CW111" s="304">
        <v>0</v>
      </c>
      <c r="CX111" s="304">
        <v>34208.384158837136</v>
      </c>
      <c r="CY111" s="303">
        <v>0</v>
      </c>
      <c r="CZ111" s="303">
        <v>34822.288789453021</v>
      </c>
      <c r="DA111" s="304">
        <v>0</v>
      </c>
      <c r="DB111" s="304">
        <v>35417.645664873417</v>
      </c>
    </row>
    <row r="112" spans="2:106" ht="14.25" customHeight="1" x14ac:dyDescent="0.25">
      <c r="B112" s="443" t="s">
        <v>595</v>
      </c>
      <c r="C112" s="272"/>
      <c r="D112" s="272"/>
      <c r="E112" s="272"/>
      <c r="G112" s="303">
        <v>4293.4014424728375</v>
      </c>
      <c r="H112" s="303">
        <v>0</v>
      </c>
      <c r="I112" s="304">
        <v>3228.9852558077396</v>
      </c>
      <c r="J112" s="304">
        <v>2664.7513257181863</v>
      </c>
      <c r="K112" s="303">
        <v>3578.5705989685057</v>
      </c>
      <c r="L112" s="303">
        <v>2514.0543893703625</v>
      </c>
      <c r="M112" s="304">
        <v>3973.55632226833</v>
      </c>
      <c r="N112" s="304">
        <v>2328.8348425217023</v>
      </c>
      <c r="O112" s="303">
        <v>3652.1765693752914</v>
      </c>
      <c r="P112" s="303">
        <v>2029.1773571572385</v>
      </c>
      <c r="Q112" s="304">
        <v>3451.3140139276879</v>
      </c>
      <c r="R112" s="304">
        <v>1820.732737835059</v>
      </c>
      <c r="S112" s="303">
        <v>3205.3662875746886</v>
      </c>
      <c r="T112" s="303">
        <v>1614.8129038347251</v>
      </c>
      <c r="U112" s="304">
        <v>3543.2648567468059</v>
      </c>
      <c r="V112" s="304">
        <v>1525.1759324024683</v>
      </c>
      <c r="W112" s="303">
        <v>2637.0989219203693</v>
      </c>
      <c r="X112" s="303">
        <v>1401.4027448533013</v>
      </c>
      <c r="Y112" s="304">
        <v>2565.7342934665821</v>
      </c>
      <c r="Z112" s="304">
        <v>2340.2066115442485</v>
      </c>
      <c r="AA112" s="303">
        <v>2227.0196923361409</v>
      </c>
      <c r="AB112" s="303">
        <v>2215.2709667812646</v>
      </c>
      <c r="AC112" s="304">
        <v>1939.5832290866801</v>
      </c>
      <c r="AD112" s="304">
        <v>1554.5982688790523</v>
      </c>
      <c r="AE112" s="303">
        <v>2123.7088271001317</v>
      </c>
      <c r="AF112" s="303">
        <v>1455.9386386155666</v>
      </c>
      <c r="AG112" s="304">
        <v>2480.285725358714</v>
      </c>
      <c r="AH112" s="304">
        <v>1485.5456974330684</v>
      </c>
      <c r="AI112" s="305">
        <v>2224.8486361114033</v>
      </c>
      <c r="AJ112" s="305">
        <v>1002.1663462006095</v>
      </c>
      <c r="AK112" s="304">
        <v>2154.9737948112484</v>
      </c>
      <c r="AL112" s="304">
        <v>931.80968578615875</v>
      </c>
      <c r="AM112" s="303">
        <v>3292.2659089136109</v>
      </c>
      <c r="AN112" s="303">
        <v>1067.2382586992671</v>
      </c>
      <c r="AO112" s="304">
        <v>3925.0998998342184</v>
      </c>
      <c r="AP112" s="304">
        <v>1328.5981914509455</v>
      </c>
      <c r="AQ112" s="303">
        <v>4753.1736350955143</v>
      </c>
      <c r="AR112" s="303">
        <v>1356.1478859245187</v>
      </c>
      <c r="AS112" s="304">
        <v>4784.8087602456899</v>
      </c>
      <c r="AT112" s="304">
        <v>1562.2661076368236</v>
      </c>
      <c r="AU112" s="303">
        <v>4514.4924374622897</v>
      </c>
      <c r="AV112" s="303">
        <v>1549.6911263959751</v>
      </c>
      <c r="AW112" s="304">
        <v>4007.5790674234991</v>
      </c>
      <c r="AX112" s="304">
        <v>1542.1709869652227</v>
      </c>
      <c r="AY112" s="303">
        <v>3776.4590922025086</v>
      </c>
      <c r="AZ112" s="303">
        <v>1541.9159022273284</v>
      </c>
      <c r="BA112" s="304">
        <v>3715.1333435310776</v>
      </c>
      <c r="BB112" s="304">
        <v>1708.8338693556557</v>
      </c>
      <c r="BC112" s="303">
        <v>3869.2132862000308</v>
      </c>
      <c r="BD112" s="303">
        <v>1675.7648638843884</v>
      </c>
      <c r="BE112" s="304">
        <v>4233.8718606552857</v>
      </c>
      <c r="BF112" s="304">
        <v>1861.6330523671968</v>
      </c>
      <c r="BG112" s="303">
        <v>4808.9948841982286</v>
      </c>
      <c r="BH112" s="303">
        <v>1839.3270874626905</v>
      </c>
      <c r="BI112" s="304">
        <v>4432.8473828300157</v>
      </c>
      <c r="BJ112" s="304">
        <v>1854.0137327456573</v>
      </c>
      <c r="BK112" s="303">
        <v>3387.5023574935112</v>
      </c>
      <c r="BL112" s="303">
        <v>2296.9737876532899</v>
      </c>
      <c r="BM112" s="304">
        <v>2976.1876684879016</v>
      </c>
      <c r="BN112" s="304">
        <v>2347.5834898952135</v>
      </c>
      <c r="BO112" s="303">
        <v>2018.8939491192564</v>
      </c>
      <c r="BP112" s="303">
        <v>1895.798940733961</v>
      </c>
      <c r="BQ112" s="304">
        <v>624.47994689130724</v>
      </c>
      <c r="BR112" s="304">
        <v>1879.6193633025423</v>
      </c>
      <c r="BS112" s="303">
        <v>493.22951440552333</v>
      </c>
      <c r="BT112" s="303">
        <v>2838.0701340663345</v>
      </c>
      <c r="BU112" s="304">
        <v>167.55411843063476</v>
      </c>
      <c r="BV112" s="304">
        <v>4368.3982618652135</v>
      </c>
      <c r="BW112" s="303">
        <v>160.56162783100604</v>
      </c>
      <c r="BX112" s="303">
        <v>4618.5560492452505</v>
      </c>
      <c r="BY112" s="304">
        <v>47.244807818519774</v>
      </c>
      <c r="BZ112" s="304">
        <v>4443.7488471655797</v>
      </c>
      <c r="CA112" s="303">
        <v>38.05205373253105</v>
      </c>
      <c r="CB112" s="303">
        <v>4322.1765785700654</v>
      </c>
      <c r="CC112" s="304">
        <v>31.735026095771108</v>
      </c>
      <c r="CD112" s="304">
        <v>4363.6423970481419</v>
      </c>
      <c r="CE112" s="303">
        <v>58.912918656217201</v>
      </c>
      <c r="CF112" s="303">
        <v>4350.4609889526164</v>
      </c>
      <c r="CG112" s="304">
        <v>94.076710325463679</v>
      </c>
      <c r="CH112" s="304">
        <v>4267.6840913664009</v>
      </c>
      <c r="CI112" s="303">
        <v>283.63657923418134</v>
      </c>
      <c r="CJ112" s="303">
        <v>3953.6100993210657</v>
      </c>
      <c r="CK112" s="304">
        <v>723.36058964920198</v>
      </c>
      <c r="CL112" s="304">
        <v>6080.3233676585805</v>
      </c>
      <c r="CM112" s="303">
        <v>819.24739922827871</v>
      </c>
      <c r="CN112" s="303">
        <v>5900.970519976232</v>
      </c>
      <c r="CO112" s="304">
        <v>1513.5216287523006</v>
      </c>
      <c r="CP112" s="304">
        <v>5546.8159309939765</v>
      </c>
      <c r="CQ112" s="303">
        <v>2185.8315389614436</v>
      </c>
      <c r="CR112" s="303">
        <v>5401.4017694121867</v>
      </c>
      <c r="CS112" s="304">
        <v>2301.5167214690396</v>
      </c>
      <c r="CT112" s="304">
        <v>4874.3271074273744</v>
      </c>
      <c r="CU112" s="303">
        <v>1616.4617499839487</v>
      </c>
      <c r="CV112" s="303">
        <v>4646.4372842322118</v>
      </c>
      <c r="CW112" s="304">
        <v>2889.6815022534784</v>
      </c>
      <c r="CX112" s="304">
        <v>4377.6403559713035</v>
      </c>
      <c r="CY112" s="303">
        <v>2797.0421373075901</v>
      </c>
      <c r="CZ112" s="303">
        <v>4120.8026472939146</v>
      </c>
      <c r="DA112" s="304">
        <v>3133.0152330083956</v>
      </c>
      <c r="DB112" s="304">
        <v>3854.0536998008283</v>
      </c>
    </row>
    <row r="113" spans="2:106" ht="14.25" customHeight="1" x14ac:dyDescent="0.25">
      <c r="B113" s="443" t="s">
        <v>761</v>
      </c>
      <c r="C113" s="272"/>
      <c r="D113" s="272"/>
      <c r="E113" s="272"/>
      <c r="G113" s="303">
        <v>274.21712214070686</v>
      </c>
      <c r="H113" s="303">
        <v>1214.7708682051912</v>
      </c>
      <c r="I113" s="304">
        <v>36.622516798849801</v>
      </c>
      <c r="J113" s="304">
        <v>2874.669739854563</v>
      </c>
      <c r="K113" s="303">
        <v>135.86961753672108</v>
      </c>
      <c r="L113" s="303">
        <v>2853.3215263211223</v>
      </c>
      <c r="M113" s="304">
        <v>91.248908610625449</v>
      </c>
      <c r="N113" s="304">
        <v>2870.454719588759</v>
      </c>
      <c r="O113" s="303">
        <v>47.656525967874586</v>
      </c>
      <c r="P113" s="303">
        <v>3375.6102881549186</v>
      </c>
      <c r="Q113" s="304">
        <v>170.79496880546617</v>
      </c>
      <c r="R113" s="304">
        <v>3386.0456231510379</v>
      </c>
      <c r="S113" s="303">
        <v>108.52635157261079</v>
      </c>
      <c r="T113" s="303">
        <v>3550.1367498998961</v>
      </c>
      <c r="U113" s="304">
        <v>118.35255279730745</v>
      </c>
      <c r="V113" s="304">
        <v>3335.3077687782943</v>
      </c>
      <c r="W113" s="303">
        <v>82.151623630370977</v>
      </c>
      <c r="X113" s="303">
        <v>3439.9889732389975</v>
      </c>
      <c r="Y113" s="304">
        <v>161.91568631071436</v>
      </c>
      <c r="Z113" s="304">
        <v>3393.3940916564911</v>
      </c>
      <c r="AA113" s="303">
        <v>80.681321257817672</v>
      </c>
      <c r="AB113" s="303">
        <v>3777.3347332595999</v>
      </c>
      <c r="AC113" s="304">
        <v>73.678211022375081</v>
      </c>
      <c r="AD113" s="304">
        <v>3720.3296723212375</v>
      </c>
      <c r="AE113" s="303">
        <v>196.28513569456436</v>
      </c>
      <c r="AF113" s="303">
        <v>3670.0126915930414</v>
      </c>
      <c r="AG113" s="304">
        <v>171.17052957276337</v>
      </c>
      <c r="AH113" s="304">
        <v>3543.3628097066485</v>
      </c>
      <c r="AI113" s="305">
        <v>130.81427964733393</v>
      </c>
      <c r="AJ113" s="305">
        <v>3669.7014311632247</v>
      </c>
      <c r="AK113" s="304">
        <v>304.50099821510048</v>
      </c>
      <c r="AL113" s="304">
        <v>3220.4603108626779</v>
      </c>
      <c r="AM113" s="303">
        <v>286.85859744360323</v>
      </c>
      <c r="AN113" s="303">
        <v>3510.7922530257865</v>
      </c>
      <c r="AO113" s="304">
        <v>238.29382320345849</v>
      </c>
      <c r="AP113" s="304">
        <v>3570.6687349397516</v>
      </c>
      <c r="AQ113" s="303">
        <v>187.11376945294842</v>
      </c>
      <c r="AR113" s="303">
        <v>3496.8287138166697</v>
      </c>
      <c r="AS113" s="304">
        <v>134.32418910012757</v>
      </c>
      <c r="AT113" s="304">
        <v>3016.7755973632648</v>
      </c>
      <c r="AU113" s="303">
        <v>436.92178754454517</v>
      </c>
      <c r="AV113" s="303">
        <v>2279.2282833345016</v>
      </c>
      <c r="AW113" s="304">
        <v>506.67391968477159</v>
      </c>
      <c r="AX113" s="304">
        <v>2006.6408710173505</v>
      </c>
      <c r="AY113" s="303">
        <v>643.46602103559917</v>
      </c>
      <c r="AZ113" s="303">
        <v>1748.0795086276339</v>
      </c>
      <c r="BA113" s="304">
        <v>541.84645703808246</v>
      </c>
      <c r="BB113" s="304">
        <v>1785.6240274162692</v>
      </c>
      <c r="BC113" s="303">
        <v>363.80677156576894</v>
      </c>
      <c r="BD113" s="303">
        <v>1752.7404899488261</v>
      </c>
      <c r="BE113" s="304">
        <v>407.81398503584137</v>
      </c>
      <c r="BF113" s="304">
        <v>1478.0267791764575</v>
      </c>
      <c r="BG113" s="303">
        <v>234.22980977459838</v>
      </c>
      <c r="BH113" s="303">
        <v>1587.2013713575195</v>
      </c>
      <c r="BI113" s="304">
        <v>200.12687304676138</v>
      </c>
      <c r="BJ113" s="304">
        <v>1380.5808564825284</v>
      </c>
      <c r="BK113" s="303">
        <v>123.69439361500281</v>
      </c>
      <c r="BL113" s="303">
        <v>1130.014413746535</v>
      </c>
      <c r="BM113" s="304">
        <v>213.73473455566909</v>
      </c>
      <c r="BN113" s="304">
        <v>1150.1203113376937</v>
      </c>
      <c r="BO113" s="303">
        <v>111.71992168317865</v>
      </c>
      <c r="BP113" s="303">
        <v>968.5932830788206</v>
      </c>
      <c r="BQ113" s="304">
        <v>39.39310564731386</v>
      </c>
      <c r="BR113" s="304">
        <v>1158.2302757754926</v>
      </c>
      <c r="BS113" s="303">
        <v>238.00006562969247</v>
      </c>
      <c r="BT113" s="303">
        <v>1173.6947135765349</v>
      </c>
      <c r="BU113" s="304">
        <v>264.21090259726611</v>
      </c>
      <c r="BV113" s="304">
        <v>1167.4842749899526</v>
      </c>
      <c r="BW113" s="303">
        <v>180.35831900334458</v>
      </c>
      <c r="BX113" s="303">
        <v>1072.077198</v>
      </c>
      <c r="BY113" s="304">
        <v>148.60798989213581</v>
      </c>
      <c r="BZ113" s="304">
        <v>1041.5738521000001</v>
      </c>
      <c r="CA113" s="303">
        <v>375.2327138853679</v>
      </c>
      <c r="CB113" s="303">
        <v>911.60814889999995</v>
      </c>
      <c r="CC113" s="304">
        <v>173.11226421745462</v>
      </c>
      <c r="CD113" s="304">
        <v>823.34337748000007</v>
      </c>
      <c r="CE113" s="303">
        <v>162.40167960286675</v>
      </c>
      <c r="CF113" s="303">
        <v>808.50803513000017</v>
      </c>
      <c r="CG113" s="304">
        <v>318.37825515979654</v>
      </c>
      <c r="CH113" s="304">
        <v>597.03116157999989</v>
      </c>
      <c r="CI113" s="303">
        <v>678.58168151240363</v>
      </c>
      <c r="CJ113" s="303">
        <v>642.55292392000001</v>
      </c>
      <c r="CK113" s="304">
        <v>932.14242361694892</v>
      </c>
      <c r="CL113" s="304">
        <v>575.67520597000009</v>
      </c>
      <c r="CM113" s="303">
        <v>1229.4829720333469</v>
      </c>
      <c r="CN113" s="303">
        <v>612.07240557632008</v>
      </c>
      <c r="CO113" s="304">
        <v>1295.9075174194854</v>
      </c>
      <c r="CP113" s="304">
        <v>520.23104864190395</v>
      </c>
      <c r="CQ113" s="303">
        <v>1276.8969558168942</v>
      </c>
      <c r="CR113" s="303">
        <v>447.35740945240894</v>
      </c>
      <c r="CS113" s="304">
        <v>1466.4975289327856</v>
      </c>
      <c r="CT113" s="304">
        <v>444.61762958111274</v>
      </c>
      <c r="CU113" s="303">
        <v>1575.4261703063162</v>
      </c>
      <c r="CV113" s="303">
        <v>386.25995079305426</v>
      </c>
      <c r="CW113" s="304">
        <v>1404.871713832903</v>
      </c>
      <c r="CX113" s="304">
        <v>302.8491505347622</v>
      </c>
      <c r="CY113" s="303">
        <v>998.50240403397538</v>
      </c>
      <c r="CZ113" s="303">
        <v>286.29930639185562</v>
      </c>
      <c r="DA113" s="304">
        <v>882.70056259403373</v>
      </c>
      <c r="DB113" s="304">
        <v>364.13325598494737</v>
      </c>
    </row>
    <row r="114" spans="2:106" ht="14.25" customHeight="1" x14ac:dyDescent="0.25">
      <c r="B114" s="443" t="s">
        <v>762</v>
      </c>
      <c r="C114" s="272"/>
      <c r="D114" s="272"/>
      <c r="E114" s="272"/>
      <c r="G114" s="303">
        <v>471.80012596053564</v>
      </c>
      <c r="H114" s="303">
        <v>6311.0400262920311</v>
      </c>
      <c r="I114" s="304">
        <v>536.87345573437631</v>
      </c>
      <c r="J114" s="304">
        <v>12672.040517047104</v>
      </c>
      <c r="K114" s="303">
        <v>557.0213688304558</v>
      </c>
      <c r="L114" s="303">
        <v>12857.817174070704</v>
      </c>
      <c r="M114" s="304">
        <v>574.08970127391603</v>
      </c>
      <c r="N114" s="304">
        <v>13359.628019913802</v>
      </c>
      <c r="O114" s="303">
        <v>587.42845306475692</v>
      </c>
      <c r="P114" s="303">
        <v>14134.119925387233</v>
      </c>
      <c r="Q114" s="304">
        <v>606.98469949416972</v>
      </c>
      <c r="R114" s="304">
        <v>14738.930539140865</v>
      </c>
      <c r="S114" s="303">
        <v>620.2308599422563</v>
      </c>
      <c r="T114" s="303">
        <v>14383.038415088986</v>
      </c>
      <c r="U114" s="304">
        <v>633.47769105589578</v>
      </c>
      <c r="V114" s="304">
        <v>14217.295961743675</v>
      </c>
      <c r="W114" s="303">
        <v>646.72452216953525</v>
      </c>
      <c r="X114" s="303">
        <v>14144.616971964057</v>
      </c>
      <c r="Y114" s="304">
        <v>816.58211919758708</v>
      </c>
      <c r="Z114" s="304">
        <v>14213.651941576058</v>
      </c>
      <c r="AA114" s="303">
        <v>896.5716112759269</v>
      </c>
      <c r="AB114" s="303">
        <v>14085.204868500326</v>
      </c>
      <c r="AC114" s="304">
        <v>976.47646598139784</v>
      </c>
      <c r="AD114" s="304">
        <v>14356.481141117716</v>
      </c>
      <c r="AE114" s="303">
        <v>1056.3813206868688</v>
      </c>
      <c r="AF114" s="303">
        <v>14162.76464500727</v>
      </c>
      <c r="AG114" s="304">
        <v>1219.0981753923397</v>
      </c>
      <c r="AH114" s="304">
        <v>13948.305932817308</v>
      </c>
      <c r="AI114" s="305">
        <v>1330.6053507532386</v>
      </c>
      <c r="AJ114" s="305">
        <v>13699.88880749949</v>
      </c>
      <c r="AK114" s="304">
        <v>1345.3055333076047</v>
      </c>
      <c r="AL114" s="304">
        <v>14518.766756404086</v>
      </c>
      <c r="AM114" s="303">
        <v>1360.0057158619709</v>
      </c>
      <c r="AN114" s="303">
        <v>14353.122249699063</v>
      </c>
      <c r="AO114" s="304">
        <v>1374.705898416337</v>
      </c>
      <c r="AP114" s="304">
        <v>15106.504426509402</v>
      </c>
      <c r="AQ114" s="303">
        <v>1389.1966367978612</v>
      </c>
      <c r="AR114" s="303">
        <v>15698.437342966014</v>
      </c>
      <c r="AS114" s="304">
        <v>1403.6873751793853</v>
      </c>
      <c r="AT114" s="304">
        <v>16930.280558251143</v>
      </c>
      <c r="AU114" s="303">
        <v>1418.1781135609097</v>
      </c>
      <c r="AV114" s="303">
        <v>16826.964523621002</v>
      </c>
      <c r="AW114" s="304">
        <v>1432.6688519424338</v>
      </c>
      <c r="AX114" s="304">
        <v>17047.735809407466</v>
      </c>
      <c r="AY114" s="303">
        <v>1448.8370478795309</v>
      </c>
      <c r="AZ114" s="303">
        <v>16930.836013898795</v>
      </c>
      <c r="BA114" s="304">
        <v>1465.0052438166283</v>
      </c>
      <c r="BB114" s="304">
        <v>16993.249047375655</v>
      </c>
      <c r="BC114" s="303">
        <v>1481.1734397537257</v>
      </c>
      <c r="BD114" s="303">
        <v>17101.642826261228</v>
      </c>
      <c r="BE114" s="304">
        <v>1497.3416356908228</v>
      </c>
      <c r="BF114" s="304">
        <v>17378.537140114669</v>
      </c>
      <c r="BG114" s="303">
        <v>1500.1673316279202</v>
      </c>
      <c r="BH114" s="303">
        <v>16351.584000449677</v>
      </c>
      <c r="BI114" s="304">
        <v>1502.9930275650177</v>
      </c>
      <c r="BJ114" s="304">
        <v>16724.683679534581</v>
      </c>
      <c r="BK114" s="303">
        <v>1505.8187235021148</v>
      </c>
      <c r="BL114" s="303">
        <v>17182.863127687189</v>
      </c>
      <c r="BM114" s="304">
        <v>1508.6444194392122</v>
      </c>
      <c r="BN114" s="304">
        <v>17831.55773207427</v>
      </c>
      <c r="BO114" s="303">
        <v>1511.9945982602803</v>
      </c>
      <c r="BP114" s="303">
        <v>18468.285527006388</v>
      </c>
      <c r="BQ114" s="304">
        <v>1515.3447770813484</v>
      </c>
      <c r="BR114" s="304">
        <v>18561.152824302219</v>
      </c>
      <c r="BS114" s="303">
        <v>1518.6949559024165</v>
      </c>
      <c r="BT114" s="303">
        <v>19729.160513266095</v>
      </c>
      <c r="BU114" s="304">
        <v>1522.0451347234846</v>
      </c>
      <c r="BV114" s="304">
        <v>21316.175345004551</v>
      </c>
      <c r="BW114" s="303">
        <v>1524.9685330362508</v>
      </c>
      <c r="BX114" s="303">
        <v>18373.112549359965</v>
      </c>
      <c r="BY114" s="304">
        <v>1527.8919313490171</v>
      </c>
      <c r="BZ114" s="304">
        <v>17884.404708077931</v>
      </c>
      <c r="CA114" s="303">
        <v>1530.8153296617834</v>
      </c>
      <c r="CB114" s="303">
        <v>18834.210610141439</v>
      </c>
      <c r="CC114" s="304">
        <v>1533.7387279745496</v>
      </c>
      <c r="CD114" s="304">
        <v>17470.329067097402</v>
      </c>
      <c r="CE114" s="303">
        <v>1543.0550490620501</v>
      </c>
      <c r="CF114" s="303">
        <v>17788.9795394104</v>
      </c>
      <c r="CG114" s="304">
        <v>1555.5706874395501</v>
      </c>
      <c r="CH114" s="304">
        <v>17924.004455982809</v>
      </c>
      <c r="CI114" s="303">
        <v>1565.80298042705</v>
      </c>
      <c r="CJ114" s="303">
        <v>17992.624242195314</v>
      </c>
      <c r="CK114" s="304">
        <v>1588.6702367645501</v>
      </c>
      <c r="CL114" s="304">
        <v>18036.072323353867</v>
      </c>
      <c r="CM114" s="303">
        <v>1612.534638372613</v>
      </c>
      <c r="CN114" s="303">
        <v>18292.22739523213</v>
      </c>
      <c r="CO114" s="304">
        <v>1648.1175874640637</v>
      </c>
      <c r="CP114" s="304">
        <v>18701.836682240093</v>
      </c>
      <c r="CQ114" s="303">
        <v>1679.8164977635627</v>
      </c>
      <c r="CR114" s="303">
        <v>18873.528617262557</v>
      </c>
      <c r="CS114" s="304">
        <v>1698.9207442014194</v>
      </c>
      <c r="CT114" s="304">
        <v>19264.889764341056</v>
      </c>
      <c r="CU114" s="303">
        <v>1716.0703856857119</v>
      </c>
      <c r="CV114" s="303">
        <v>19407.334666487481</v>
      </c>
      <c r="CW114" s="304">
        <v>1740.3526475229189</v>
      </c>
      <c r="CX114" s="304">
        <v>19686.654960690768</v>
      </c>
      <c r="CY114" s="303">
        <v>1761.1714534841508</v>
      </c>
      <c r="CZ114" s="303">
        <v>20078.020696047643</v>
      </c>
      <c r="DA114" s="304">
        <v>1797.1308779661686</v>
      </c>
      <c r="DB114" s="304">
        <v>20685.926209320107</v>
      </c>
    </row>
    <row r="115" spans="2:106" ht="14.25" customHeight="1" x14ac:dyDescent="0.25">
      <c r="B115" s="445"/>
      <c r="C115" s="272"/>
      <c r="D115" s="272"/>
      <c r="E115" s="272"/>
      <c r="G115" s="303"/>
      <c r="H115" s="303"/>
      <c r="I115" s="304"/>
      <c r="J115" s="304"/>
      <c r="K115" s="303"/>
      <c r="L115" s="303"/>
      <c r="M115" s="304"/>
      <c r="N115" s="304"/>
      <c r="O115" s="303"/>
      <c r="P115" s="303"/>
      <c r="Q115" s="304"/>
      <c r="R115" s="304"/>
      <c r="S115" s="303"/>
      <c r="T115" s="303"/>
      <c r="U115" s="304"/>
      <c r="V115" s="304"/>
      <c r="W115" s="303"/>
      <c r="X115" s="303"/>
      <c r="Y115" s="304"/>
      <c r="Z115" s="304"/>
      <c r="AA115" s="303"/>
      <c r="AB115" s="303"/>
      <c r="AC115" s="304"/>
      <c r="AD115" s="304"/>
      <c r="AE115" s="303"/>
      <c r="AF115" s="303"/>
      <c r="AG115" s="304"/>
      <c r="AH115" s="304"/>
      <c r="AI115" s="305"/>
      <c r="AJ115" s="305"/>
      <c r="AK115" s="304"/>
      <c r="AL115" s="304"/>
      <c r="AM115" s="303"/>
      <c r="AN115" s="303"/>
      <c r="AO115" s="304"/>
      <c r="AP115" s="304"/>
      <c r="AQ115" s="303"/>
      <c r="AR115" s="303"/>
      <c r="AS115" s="304"/>
      <c r="AT115" s="304"/>
      <c r="AU115" s="303"/>
      <c r="AV115" s="303"/>
      <c r="AW115" s="304"/>
      <c r="AX115" s="304"/>
      <c r="AY115" s="303"/>
      <c r="AZ115" s="303"/>
      <c r="BA115" s="304"/>
      <c r="BB115" s="304"/>
      <c r="BC115" s="303"/>
      <c r="BD115" s="303"/>
      <c r="BE115" s="304"/>
      <c r="BF115" s="304"/>
      <c r="BG115" s="303"/>
      <c r="BH115" s="303"/>
      <c r="BI115" s="304"/>
      <c r="BJ115" s="304"/>
      <c r="BK115" s="303"/>
      <c r="BL115" s="303"/>
      <c r="BM115" s="304"/>
      <c r="BN115" s="304"/>
      <c r="BO115" s="303"/>
      <c r="BP115" s="303"/>
      <c r="BQ115" s="304"/>
      <c r="BR115" s="304"/>
      <c r="BS115" s="303"/>
      <c r="BT115" s="303"/>
      <c r="BU115" s="304"/>
      <c r="BV115" s="304"/>
      <c r="BW115" s="303"/>
      <c r="BX115" s="303"/>
      <c r="BY115" s="304"/>
      <c r="BZ115" s="304"/>
      <c r="CA115" s="303"/>
      <c r="CB115" s="303"/>
      <c r="CC115" s="304"/>
      <c r="CD115" s="304"/>
      <c r="CE115" s="303"/>
      <c r="CF115" s="303"/>
      <c r="CG115" s="304"/>
      <c r="CH115" s="304"/>
      <c r="CI115" s="303"/>
      <c r="CJ115" s="303"/>
      <c r="CK115" s="304"/>
      <c r="CL115" s="304"/>
      <c r="CM115" s="303"/>
      <c r="CN115" s="303"/>
      <c r="CO115" s="304"/>
      <c r="CP115" s="304"/>
      <c r="CQ115" s="303"/>
      <c r="CR115" s="303"/>
      <c r="CS115" s="304"/>
      <c r="CT115" s="304"/>
      <c r="CU115" s="303"/>
      <c r="CV115" s="303"/>
      <c r="CW115" s="304"/>
      <c r="CX115" s="304"/>
      <c r="CY115" s="303"/>
      <c r="CZ115" s="303"/>
      <c r="DA115" s="304"/>
      <c r="DB115" s="304"/>
    </row>
    <row r="116" spans="2:106" ht="14.25" customHeight="1" x14ac:dyDescent="0.25">
      <c r="B116" s="440" t="s">
        <v>763</v>
      </c>
      <c r="C116" s="440"/>
      <c r="D116" s="440"/>
      <c r="E116" s="440"/>
      <c r="F116" s="440"/>
      <c r="G116" s="441">
        <v>9188.9165131360714</v>
      </c>
      <c r="H116" s="441">
        <v>34916.217659643356</v>
      </c>
      <c r="I116" s="441">
        <v>9452.3168280439695</v>
      </c>
      <c r="J116" s="441">
        <v>47808.436206681668</v>
      </c>
      <c r="K116" s="441">
        <v>10458.544092390008</v>
      </c>
      <c r="L116" s="441">
        <v>49583.005835457334</v>
      </c>
      <c r="M116" s="441">
        <v>11749.730330823313</v>
      </c>
      <c r="N116" s="441">
        <v>51704.605058508489</v>
      </c>
      <c r="O116" s="441">
        <v>11347.644134515283</v>
      </c>
      <c r="P116" s="441">
        <v>52166.599455957839</v>
      </c>
      <c r="Q116" s="441">
        <v>11185.775496820941</v>
      </c>
      <c r="R116" s="441">
        <v>52811.214380158141</v>
      </c>
      <c r="S116" s="441">
        <v>9678.2417397179615</v>
      </c>
      <c r="T116" s="441">
        <v>51502.865592600952</v>
      </c>
      <c r="U116" s="441">
        <v>10372.53542544984</v>
      </c>
      <c r="V116" s="441">
        <v>52533.675594128028</v>
      </c>
      <c r="W116" s="441">
        <v>9629.8189654739381</v>
      </c>
      <c r="X116" s="441">
        <v>50898.614280648762</v>
      </c>
      <c r="Y116" s="441">
        <v>10734.178654841082</v>
      </c>
      <c r="Z116" s="441">
        <v>53740.235421088859</v>
      </c>
      <c r="AA116" s="441">
        <v>9800.019516617218</v>
      </c>
      <c r="AB116" s="441">
        <v>52932.654235842303</v>
      </c>
      <c r="AC116" s="441">
        <v>8943.2239749329183</v>
      </c>
      <c r="AD116" s="441">
        <v>53326.988126613593</v>
      </c>
      <c r="AE116" s="441">
        <v>10773.030483212528</v>
      </c>
      <c r="AF116" s="441">
        <v>56114.543793825214</v>
      </c>
      <c r="AG116" s="441">
        <v>10265.955108699796</v>
      </c>
      <c r="AH116" s="441">
        <v>54857.431824122439</v>
      </c>
      <c r="AI116" s="442">
        <v>9289.4967644665376</v>
      </c>
      <c r="AJ116" s="442">
        <v>54608.35104186555</v>
      </c>
      <c r="AK116" s="441">
        <v>11321.792241335301</v>
      </c>
      <c r="AL116" s="441">
        <v>57908.546506363156</v>
      </c>
      <c r="AM116" s="441">
        <v>11855.999228160388</v>
      </c>
      <c r="AN116" s="441">
        <v>58271.161922167492</v>
      </c>
      <c r="AO116" s="441">
        <v>12703.911512487342</v>
      </c>
      <c r="AP116" s="441">
        <v>60560.563324003684</v>
      </c>
      <c r="AQ116" s="441">
        <v>11907.548374655262</v>
      </c>
      <c r="AR116" s="441">
        <v>61334.514573260145</v>
      </c>
      <c r="AS116" s="441">
        <v>13710.83666325163</v>
      </c>
      <c r="AT116" s="441">
        <v>62927.366198465366</v>
      </c>
      <c r="AU116" s="441">
        <v>12090.565223038699</v>
      </c>
      <c r="AV116" s="441">
        <v>61923.778780827721</v>
      </c>
      <c r="AW116" s="441">
        <v>12097.61074287364</v>
      </c>
      <c r="AX116" s="441">
        <v>61389.615400741895</v>
      </c>
      <c r="AY116" s="441">
        <v>13040.918467248444</v>
      </c>
      <c r="AZ116" s="441">
        <v>63187.587910620132</v>
      </c>
      <c r="BA116" s="441">
        <v>14051.062824404456</v>
      </c>
      <c r="BB116" s="441">
        <v>64219.544127702022</v>
      </c>
      <c r="BC116" s="441">
        <v>12928.454529221854</v>
      </c>
      <c r="BD116" s="441">
        <v>64272.142138368319</v>
      </c>
      <c r="BE116" s="441">
        <v>12985.307978072378</v>
      </c>
      <c r="BF116" s="441">
        <v>64147.778924901242</v>
      </c>
      <c r="BG116" s="441">
        <v>13213.719983625986</v>
      </c>
      <c r="BH116" s="441">
        <v>57597.49267371837</v>
      </c>
      <c r="BI116" s="441">
        <v>11985.215706156847</v>
      </c>
      <c r="BJ116" s="441">
        <v>58287.39832429892</v>
      </c>
      <c r="BK116" s="441">
        <v>11626.215795153839</v>
      </c>
      <c r="BL116" s="441">
        <v>59354.732367325996</v>
      </c>
      <c r="BM116" s="441">
        <v>10882.678812788316</v>
      </c>
      <c r="BN116" s="441">
        <v>58574.114178392956</v>
      </c>
      <c r="BO116" s="441">
        <v>8942.3952905459464</v>
      </c>
      <c r="BP116" s="441">
        <v>58773.053863679153</v>
      </c>
      <c r="BQ116" s="441">
        <v>9322.1049908536297</v>
      </c>
      <c r="BR116" s="441">
        <v>60410.727891601076</v>
      </c>
      <c r="BS116" s="441">
        <v>8711.8307165749993</v>
      </c>
      <c r="BT116" s="441">
        <v>62421.184704528292</v>
      </c>
      <c r="BU116" s="441">
        <v>8757.5469581923935</v>
      </c>
      <c r="BV116" s="441">
        <v>63967.22441707008</v>
      </c>
      <c r="BW116" s="441">
        <v>8073.0773461734352</v>
      </c>
      <c r="BX116" s="441">
        <v>59785.583680374322</v>
      </c>
      <c r="BY116" s="441">
        <v>8316.5516570773652</v>
      </c>
      <c r="BZ116" s="441">
        <v>57282.048781625417</v>
      </c>
      <c r="CA116" s="441">
        <v>8857.6959175731317</v>
      </c>
      <c r="CB116" s="441">
        <v>57398.785724271816</v>
      </c>
      <c r="CC116" s="441">
        <v>8829.9684081460946</v>
      </c>
      <c r="CD116" s="441">
        <v>58102.000609123323</v>
      </c>
      <c r="CE116" s="441">
        <v>9775.0342875120296</v>
      </c>
      <c r="CF116" s="441">
        <v>59853.959532914785</v>
      </c>
      <c r="CG116" s="441">
        <v>10927.951816180783</v>
      </c>
      <c r="CH116" s="441">
        <v>61507.925833591042</v>
      </c>
      <c r="CI116" s="441">
        <v>11712.053736949902</v>
      </c>
      <c r="CJ116" s="441">
        <v>61810.214149087922</v>
      </c>
      <c r="CK116" s="441">
        <v>12524.514888535032</v>
      </c>
      <c r="CL116" s="441">
        <v>63409.581234232945</v>
      </c>
      <c r="CM116" s="441">
        <v>13176.129991560694</v>
      </c>
      <c r="CN116" s="441">
        <v>64608.144269142278</v>
      </c>
      <c r="CO116" s="441">
        <v>14069.885039851073</v>
      </c>
      <c r="CP116" s="441">
        <v>65605.896002791676</v>
      </c>
      <c r="CQ116" s="441">
        <v>14639.588709141266</v>
      </c>
      <c r="CR116" s="441">
        <v>66267.825438494037</v>
      </c>
      <c r="CS116" s="441">
        <v>14541.623865225954</v>
      </c>
      <c r="CT116" s="441">
        <v>66106.774040192948</v>
      </c>
      <c r="CU116" s="441">
        <v>15793.539664470089</v>
      </c>
      <c r="CV116" s="441">
        <v>64697.935508968134</v>
      </c>
      <c r="CW116" s="441">
        <v>15283.086044918498</v>
      </c>
      <c r="CX116" s="441">
        <v>64843.118719806414</v>
      </c>
      <c r="CY116" s="441">
        <v>15295.608730650814</v>
      </c>
      <c r="CZ116" s="441">
        <v>65802.523701491271</v>
      </c>
      <c r="DA116" s="441">
        <v>16070.381444989027</v>
      </c>
      <c r="DB116" s="441">
        <v>66988.727736166373</v>
      </c>
    </row>
    <row r="117" spans="2:106" ht="14.25" customHeight="1" x14ac:dyDescent="0.25">
      <c r="B117" s="443" t="s">
        <v>544</v>
      </c>
      <c r="C117" s="272"/>
      <c r="D117" s="272"/>
      <c r="E117" s="272"/>
      <c r="G117" s="303">
        <v>0</v>
      </c>
      <c r="H117" s="303">
        <v>21547.368048040094</v>
      </c>
      <c r="I117" s="304">
        <v>0</v>
      </c>
      <c r="J117" s="304">
        <v>22290.101191029695</v>
      </c>
      <c r="K117" s="303">
        <v>0</v>
      </c>
      <c r="L117" s="303">
        <v>24528.486970549206</v>
      </c>
      <c r="M117" s="304">
        <v>0</v>
      </c>
      <c r="N117" s="304">
        <v>25463.699009616608</v>
      </c>
      <c r="O117" s="303">
        <v>0</v>
      </c>
      <c r="P117" s="303">
        <v>24734.961921765142</v>
      </c>
      <c r="Q117" s="304">
        <v>0</v>
      </c>
      <c r="R117" s="304">
        <v>24132.069904538621</v>
      </c>
      <c r="S117" s="303">
        <v>0</v>
      </c>
      <c r="T117" s="303">
        <v>23452.065724978474</v>
      </c>
      <c r="U117" s="304">
        <v>0</v>
      </c>
      <c r="V117" s="304">
        <v>24337.897982625997</v>
      </c>
      <c r="W117" s="303">
        <v>0</v>
      </c>
      <c r="X117" s="303">
        <v>23479.992421533145</v>
      </c>
      <c r="Y117" s="304">
        <v>0</v>
      </c>
      <c r="Z117" s="304">
        <v>24680.820228439879</v>
      </c>
      <c r="AA117" s="303">
        <v>0</v>
      </c>
      <c r="AB117" s="303">
        <v>24686.012733867159</v>
      </c>
      <c r="AC117" s="304">
        <v>0</v>
      </c>
      <c r="AD117" s="304">
        <v>25210.297571105672</v>
      </c>
      <c r="AE117" s="303">
        <v>0</v>
      </c>
      <c r="AF117" s="303">
        <v>28299.952543651794</v>
      </c>
      <c r="AG117" s="304">
        <v>0</v>
      </c>
      <c r="AH117" s="304">
        <v>27197.235497847567</v>
      </c>
      <c r="AI117" s="305">
        <v>0</v>
      </c>
      <c r="AJ117" s="305">
        <v>27284.963487833662</v>
      </c>
      <c r="AK117" s="304">
        <v>0</v>
      </c>
      <c r="AL117" s="304">
        <v>29682.064078990716</v>
      </c>
      <c r="AM117" s="303">
        <v>0</v>
      </c>
      <c r="AN117" s="303">
        <v>30998.287828706609</v>
      </c>
      <c r="AO117" s="304">
        <v>0</v>
      </c>
      <c r="AP117" s="304">
        <v>31354.967013258836</v>
      </c>
      <c r="AQ117" s="303">
        <v>0</v>
      </c>
      <c r="AR117" s="303">
        <v>31617.658830388642</v>
      </c>
      <c r="AS117" s="304">
        <v>0</v>
      </c>
      <c r="AT117" s="304">
        <v>32670.625214927197</v>
      </c>
      <c r="AU117" s="303">
        <v>0</v>
      </c>
      <c r="AV117" s="303">
        <v>32299.404592857732</v>
      </c>
      <c r="AW117" s="304">
        <v>0</v>
      </c>
      <c r="AX117" s="304">
        <v>32011.391761802064</v>
      </c>
      <c r="AY117" s="303">
        <v>0</v>
      </c>
      <c r="AZ117" s="303">
        <v>34530.890594363067</v>
      </c>
      <c r="BA117" s="304">
        <v>0</v>
      </c>
      <c r="BB117" s="304">
        <v>35528.920928214437</v>
      </c>
      <c r="BC117" s="303">
        <v>0</v>
      </c>
      <c r="BD117" s="303">
        <v>35112.863858263736</v>
      </c>
      <c r="BE117" s="304">
        <v>0</v>
      </c>
      <c r="BF117" s="304">
        <v>34249.025489601096</v>
      </c>
      <c r="BG117" s="303">
        <v>0</v>
      </c>
      <c r="BH117" s="303">
        <v>28723.858002352386</v>
      </c>
      <c r="BI117" s="304">
        <v>0</v>
      </c>
      <c r="BJ117" s="304">
        <v>29864.699947926878</v>
      </c>
      <c r="BK117" s="303">
        <v>0</v>
      </c>
      <c r="BL117" s="303">
        <v>30027.384805232396</v>
      </c>
      <c r="BM117" s="304">
        <v>0</v>
      </c>
      <c r="BN117" s="304">
        <v>28186.536894388788</v>
      </c>
      <c r="BO117" s="303">
        <v>0</v>
      </c>
      <c r="BP117" s="303">
        <v>28616.238909739022</v>
      </c>
      <c r="BQ117" s="304">
        <v>0</v>
      </c>
      <c r="BR117" s="304">
        <v>29781.653708293292</v>
      </c>
      <c r="BS117" s="303">
        <v>0</v>
      </c>
      <c r="BT117" s="303">
        <v>28685.575947215679</v>
      </c>
      <c r="BU117" s="304">
        <v>0</v>
      </c>
      <c r="BV117" s="304">
        <v>27555.849263588581</v>
      </c>
      <c r="BW117" s="303">
        <v>0</v>
      </c>
      <c r="BX117" s="303">
        <v>26521.850106271562</v>
      </c>
      <c r="BY117" s="304">
        <v>0</v>
      </c>
      <c r="BZ117" s="304">
        <v>25147.162554086226</v>
      </c>
      <c r="CA117" s="303">
        <v>0</v>
      </c>
      <c r="CB117" s="303">
        <v>24473.038072962754</v>
      </c>
      <c r="CC117" s="304">
        <v>0</v>
      </c>
      <c r="CD117" s="304">
        <v>27518.488540975948</v>
      </c>
      <c r="CE117" s="303">
        <v>0</v>
      </c>
      <c r="CF117" s="303">
        <v>29391.420492376321</v>
      </c>
      <c r="CG117" s="304">
        <v>0</v>
      </c>
      <c r="CH117" s="304">
        <v>31078.582108616873</v>
      </c>
      <c r="CI117" s="303">
        <v>0</v>
      </c>
      <c r="CJ117" s="303">
        <v>31304.199095684362</v>
      </c>
      <c r="CK117" s="304">
        <v>0</v>
      </c>
      <c r="CL117" s="304">
        <v>33116.502941242346</v>
      </c>
      <c r="CM117" s="303">
        <v>0</v>
      </c>
      <c r="CN117" s="303">
        <v>33942.19348252505</v>
      </c>
      <c r="CO117" s="304">
        <v>0</v>
      </c>
      <c r="CP117" s="304">
        <v>34339.815994445627</v>
      </c>
      <c r="CQ117" s="303">
        <v>0</v>
      </c>
      <c r="CR117" s="303">
        <v>34979.867711281746</v>
      </c>
      <c r="CS117" s="304">
        <v>0</v>
      </c>
      <c r="CT117" s="304">
        <v>35634.612003941838</v>
      </c>
      <c r="CU117" s="303">
        <v>0</v>
      </c>
      <c r="CV117" s="303">
        <v>34097.054651749473</v>
      </c>
      <c r="CW117" s="304">
        <v>0</v>
      </c>
      <c r="CX117" s="304">
        <v>34209.271966466171</v>
      </c>
      <c r="CY117" s="303">
        <v>0</v>
      </c>
      <c r="CZ117" s="303">
        <v>34835.818061493323</v>
      </c>
      <c r="DA117" s="304">
        <v>0</v>
      </c>
      <c r="DB117" s="304">
        <v>35422.433111604587</v>
      </c>
    </row>
    <row r="118" spans="2:106" ht="14.25" customHeight="1" x14ac:dyDescent="0.25">
      <c r="B118" s="443" t="s">
        <v>595</v>
      </c>
      <c r="C118" s="272"/>
      <c r="D118" s="272"/>
      <c r="E118" s="272"/>
      <c r="G118" s="303">
        <v>7105.8857307152875</v>
      </c>
      <c r="H118" s="303">
        <v>232.34634527810459</v>
      </c>
      <c r="I118" s="304">
        <v>7495.2652263693089</v>
      </c>
      <c r="J118" s="304">
        <v>2955.5953819900883</v>
      </c>
      <c r="K118" s="303">
        <v>8059.7296017340168</v>
      </c>
      <c r="L118" s="303">
        <v>2693.2778033604263</v>
      </c>
      <c r="M118" s="304">
        <v>9164.0011963749221</v>
      </c>
      <c r="N118" s="304">
        <v>2673.0776681292532</v>
      </c>
      <c r="O118" s="303">
        <v>8821.8043364212426</v>
      </c>
      <c r="P118" s="303">
        <v>2263.8122961810377</v>
      </c>
      <c r="Q118" s="304">
        <v>8208.4116477567386</v>
      </c>
      <c r="R118" s="304">
        <v>2263.8731713219486</v>
      </c>
      <c r="S118" s="303">
        <v>6819.545506591644</v>
      </c>
      <c r="T118" s="303">
        <v>1864.3957558973286</v>
      </c>
      <c r="U118" s="304">
        <v>7525.4853808777625</v>
      </c>
      <c r="V118" s="304">
        <v>1955.8959353296189</v>
      </c>
      <c r="W118" s="303">
        <v>6783.676837049009</v>
      </c>
      <c r="X118" s="303">
        <v>1637.7837319344824</v>
      </c>
      <c r="Y118" s="304">
        <v>7303.6377539425175</v>
      </c>
      <c r="Z118" s="304">
        <v>2822.885645755975</v>
      </c>
      <c r="AA118" s="303">
        <v>6221.1863548835809</v>
      </c>
      <c r="AB118" s="303">
        <v>2469.7888849839746</v>
      </c>
      <c r="AC118" s="304">
        <v>5292.2737943062921</v>
      </c>
      <c r="AD118" s="304">
        <v>2002.7764965784672</v>
      </c>
      <c r="AE118" s="303">
        <v>6455.7184999114761</v>
      </c>
      <c r="AF118" s="303">
        <v>1735.876652608815</v>
      </c>
      <c r="AG118" s="304">
        <v>6019.0622831281016</v>
      </c>
      <c r="AH118" s="304">
        <v>2021.6968473702514</v>
      </c>
      <c r="AI118" s="305">
        <v>5117.2591547666916</v>
      </c>
      <c r="AJ118" s="305">
        <v>1300.6986514987798</v>
      </c>
      <c r="AK118" s="304">
        <v>6959.0058206598096</v>
      </c>
      <c r="AL118" s="304">
        <v>1416.8952733986921</v>
      </c>
      <c r="AM118" s="303">
        <v>7279.8355908532867</v>
      </c>
      <c r="AN118" s="303">
        <v>1283.1061733826436</v>
      </c>
      <c r="AO118" s="304">
        <v>7958.6526532331436</v>
      </c>
      <c r="AP118" s="304">
        <v>1924.4185868398374</v>
      </c>
      <c r="AQ118" s="303">
        <v>7319.7497098434051</v>
      </c>
      <c r="AR118" s="303">
        <v>1608.3891251947107</v>
      </c>
      <c r="AS118" s="304">
        <v>9267.017790219732</v>
      </c>
      <c r="AT118" s="304">
        <v>2077.4018017053286</v>
      </c>
      <c r="AU118" s="303">
        <v>7164.0793420035607</v>
      </c>
      <c r="AV118" s="303">
        <v>1768.2055183140576</v>
      </c>
      <c r="AW118" s="304">
        <v>6919.2167759618542</v>
      </c>
      <c r="AX118" s="304">
        <v>1974.6592728223422</v>
      </c>
      <c r="AY118" s="303">
        <v>7629.241940996536</v>
      </c>
      <c r="AZ118" s="303">
        <v>1771.2625998995024</v>
      </c>
      <c r="BA118" s="304">
        <v>8864.9845231109884</v>
      </c>
      <c r="BB118" s="304">
        <v>2092.7972179303888</v>
      </c>
      <c r="BC118" s="303">
        <v>7635.3319635756388</v>
      </c>
      <c r="BD118" s="303">
        <v>1890.7874292704878</v>
      </c>
      <c r="BE118" s="304">
        <v>7642.3930007529307</v>
      </c>
      <c r="BF118" s="304">
        <v>2318.1278657268649</v>
      </c>
      <c r="BG118" s="303">
        <v>7533.7365693888514</v>
      </c>
      <c r="BH118" s="303">
        <v>2059.0558750962637</v>
      </c>
      <c r="BI118" s="304">
        <v>6694.6480134553021</v>
      </c>
      <c r="BJ118" s="304">
        <v>2127.7688285219374</v>
      </c>
      <c r="BK118" s="303">
        <v>6666.3209381823235</v>
      </c>
      <c r="BL118" s="303">
        <v>2456.0608863457392</v>
      </c>
      <c r="BM118" s="304">
        <v>5664.2655693507568</v>
      </c>
      <c r="BN118" s="304">
        <v>2690.4201852100118</v>
      </c>
      <c r="BO118" s="303">
        <v>4055.1636773857626</v>
      </c>
      <c r="BP118" s="303">
        <v>2172.7740796108169</v>
      </c>
      <c r="BQ118" s="304">
        <v>4060.0459080771461</v>
      </c>
      <c r="BR118" s="304">
        <v>2341.5553654508672</v>
      </c>
      <c r="BS118" s="303">
        <v>2704.1872989839321</v>
      </c>
      <c r="BT118" s="303">
        <v>3072.6368834698669</v>
      </c>
      <c r="BU118" s="304">
        <v>3139.2264604148531</v>
      </c>
      <c r="BV118" s="304">
        <v>4892.316642783102</v>
      </c>
      <c r="BW118" s="303">
        <v>1916.5374430365971</v>
      </c>
      <c r="BX118" s="303">
        <v>5922.7266534930768</v>
      </c>
      <c r="BY118" s="304">
        <v>1854.1052886081088</v>
      </c>
      <c r="BZ118" s="304">
        <v>6363.6166658464008</v>
      </c>
      <c r="CA118" s="303">
        <v>1778.518069680119</v>
      </c>
      <c r="CB118" s="303">
        <v>6345.3708689587129</v>
      </c>
      <c r="CC118" s="304">
        <v>1897.6093599466262</v>
      </c>
      <c r="CD118" s="304">
        <v>6391.4803479436559</v>
      </c>
      <c r="CE118" s="303">
        <v>2694.2672816620388</v>
      </c>
      <c r="CF118" s="303">
        <v>6343.5087788372948</v>
      </c>
      <c r="CG118" s="304">
        <v>3724.1982324163923</v>
      </c>
      <c r="CH118" s="304">
        <v>6259.7796179871311</v>
      </c>
      <c r="CI118" s="303">
        <v>3539.9499851667993</v>
      </c>
      <c r="CJ118" s="303">
        <v>6152.2567484930123</v>
      </c>
      <c r="CK118" s="304">
        <v>4392.1424579263667</v>
      </c>
      <c r="CL118" s="304">
        <v>6080.6168933903191</v>
      </c>
      <c r="CM118" s="303">
        <v>4959.8460076628326</v>
      </c>
      <c r="CN118" s="303">
        <v>5901.2774041430039</v>
      </c>
      <c r="CO118" s="304">
        <v>5654.4870927379097</v>
      </c>
      <c r="CP118" s="304">
        <v>5546.9293900743032</v>
      </c>
      <c r="CQ118" s="303">
        <v>5993.8917233737347</v>
      </c>
      <c r="CR118" s="303">
        <v>5401.5249071027665</v>
      </c>
      <c r="CS118" s="304">
        <v>6121.9790212458047</v>
      </c>
      <c r="CT118" s="304">
        <v>4874.4438569909689</v>
      </c>
      <c r="CU118" s="303">
        <v>6530.559047552294</v>
      </c>
      <c r="CV118" s="303">
        <v>4646.560301660249</v>
      </c>
      <c r="CW118" s="304">
        <v>6081.3700816872888</v>
      </c>
      <c r="CX118" s="304">
        <v>4377.7550725092005</v>
      </c>
      <c r="CY118" s="303">
        <v>6243.6170175734387</v>
      </c>
      <c r="CZ118" s="303">
        <v>4120.9173433120523</v>
      </c>
      <c r="DA118" s="304">
        <v>6838.0752228980746</v>
      </c>
      <c r="DB118" s="304">
        <v>3854.1697775413613</v>
      </c>
    </row>
    <row r="119" spans="2:106" ht="14.25" customHeight="1" x14ac:dyDescent="0.25">
      <c r="B119" s="443" t="s">
        <v>761</v>
      </c>
      <c r="C119" s="272"/>
      <c r="D119" s="272"/>
      <c r="E119" s="272"/>
      <c r="G119" s="303">
        <v>1479.6769285440669</v>
      </c>
      <c r="H119" s="303">
        <v>4915.7449932334493</v>
      </c>
      <c r="I119" s="304">
        <v>1078.1169632436734</v>
      </c>
      <c r="J119" s="304">
        <v>6758.2894984168797</v>
      </c>
      <c r="K119" s="303">
        <v>1428.6951008004985</v>
      </c>
      <c r="L119" s="303">
        <v>6332.8360930587914</v>
      </c>
      <c r="M119" s="304">
        <v>1504.7607696747089</v>
      </c>
      <c r="N119" s="304">
        <v>6760.7899820321709</v>
      </c>
      <c r="O119" s="303">
        <v>1337.7520390547875</v>
      </c>
      <c r="P119" s="303">
        <v>7419.6020278037713</v>
      </c>
      <c r="Q119" s="304">
        <v>1675.9392011208058</v>
      </c>
      <c r="R119" s="304">
        <v>8132.6438157808752</v>
      </c>
      <c r="S119" s="303">
        <v>1767.3032455831446</v>
      </c>
      <c r="T119" s="303">
        <v>8608.7792134413176</v>
      </c>
      <c r="U119" s="304">
        <v>1705.8605494166047</v>
      </c>
      <c r="V119" s="304">
        <v>8537.503171930126</v>
      </c>
      <c r="W119" s="303">
        <v>1655.1561256571563</v>
      </c>
      <c r="X119" s="303">
        <v>8545.8043165765375</v>
      </c>
      <c r="Y119" s="304">
        <v>2033.1476246040779</v>
      </c>
      <c r="Z119" s="304">
        <v>9155.8530954726775</v>
      </c>
      <c r="AA119" s="303">
        <v>1982.2884033842947</v>
      </c>
      <c r="AB119" s="303">
        <v>9413.8316587686004</v>
      </c>
      <c r="AC119" s="304">
        <v>2003.1551892742166</v>
      </c>
      <c r="AD119" s="304">
        <v>9363.6907117207775</v>
      </c>
      <c r="AE119" s="303">
        <v>2618.2667589455746</v>
      </c>
      <c r="AF119" s="303">
        <v>9050.9119949175401</v>
      </c>
      <c r="AG119" s="304">
        <v>2413.7853682131504</v>
      </c>
      <c r="AH119" s="304">
        <v>8790.4513280813553</v>
      </c>
      <c r="AI119" s="305">
        <v>1962.2867104184368</v>
      </c>
      <c r="AJ119" s="305">
        <v>9066.9119293127733</v>
      </c>
      <c r="AK119" s="304">
        <v>2133.6709004962872</v>
      </c>
      <c r="AL119" s="304">
        <v>8737.4004892365811</v>
      </c>
      <c r="AM119" s="303">
        <v>2327.8834962300984</v>
      </c>
      <c r="AN119" s="303">
        <v>8419.5005159671746</v>
      </c>
      <c r="AO119" s="304">
        <v>2477.814097279399</v>
      </c>
      <c r="AP119" s="304">
        <v>8711.0395188249749</v>
      </c>
      <c r="AQ119" s="303">
        <v>2256.1951749578961</v>
      </c>
      <c r="AR119" s="303">
        <v>8604.6394023888388</v>
      </c>
      <c r="AS119" s="304">
        <v>2051.1412823546639</v>
      </c>
      <c r="AT119" s="304">
        <v>7644.0981374460525</v>
      </c>
      <c r="AU119" s="303">
        <v>2472.7341895346262</v>
      </c>
      <c r="AV119" s="303">
        <v>7443.4927239019262</v>
      </c>
      <c r="AW119" s="304">
        <v>2663.5681745880006</v>
      </c>
      <c r="AX119" s="304">
        <v>7359.2441404325291</v>
      </c>
      <c r="AY119" s="303">
        <v>2879.6867484127179</v>
      </c>
      <c r="AZ119" s="303">
        <v>7053.5515250842845</v>
      </c>
      <c r="BA119" s="304">
        <v>2636.924537938874</v>
      </c>
      <c r="BB119" s="304">
        <v>6687.7676975708873</v>
      </c>
      <c r="BC119" s="303">
        <v>2726.8048167762186</v>
      </c>
      <c r="BD119" s="303">
        <v>6940.3823026843947</v>
      </c>
      <c r="BE119" s="304">
        <v>2759.4332429340475</v>
      </c>
      <c r="BF119" s="304">
        <v>6996.8523732691056</v>
      </c>
      <c r="BG119" s="303">
        <v>3151.8715297771359</v>
      </c>
      <c r="BH119" s="303">
        <v>7763.2171492356365</v>
      </c>
      <c r="BI119" s="304">
        <v>2817.8256581669475</v>
      </c>
      <c r="BJ119" s="304">
        <v>7050.4873643398432</v>
      </c>
      <c r="BK119" s="303">
        <v>2542.5226723623227</v>
      </c>
      <c r="BL119" s="303">
        <v>6865.8437998152376</v>
      </c>
      <c r="BM119" s="304">
        <v>2856.4109087537677</v>
      </c>
      <c r="BN119" s="304">
        <v>6657.3194999408024</v>
      </c>
      <c r="BO119" s="303">
        <v>2457.1290996553239</v>
      </c>
      <c r="BP119" s="303">
        <v>6226.0574959346868</v>
      </c>
      <c r="BQ119" s="304">
        <v>2763.6063904505554</v>
      </c>
      <c r="BR119" s="304">
        <v>6510.8591701933974</v>
      </c>
      <c r="BS119" s="303">
        <v>3440.8405464440707</v>
      </c>
      <c r="BT119" s="303">
        <v>7438.9166264237874</v>
      </c>
      <c r="BU119" s="304">
        <v>2983.1674478094747</v>
      </c>
      <c r="BV119" s="304">
        <v>7146.0282169408274</v>
      </c>
      <c r="BW119" s="303">
        <v>3441.0625232810075</v>
      </c>
      <c r="BX119" s="303">
        <v>6814.9588626149271</v>
      </c>
      <c r="BY119" s="304">
        <v>3666.6446587256587</v>
      </c>
      <c r="BZ119" s="304">
        <v>6111.9446817467106</v>
      </c>
      <c r="CA119" s="303">
        <v>4203.05180826165</v>
      </c>
      <c r="CB119" s="303">
        <v>6073.8535006357843</v>
      </c>
      <c r="CC119" s="304">
        <v>3975.9086786803373</v>
      </c>
      <c r="CD119" s="304">
        <v>5370.1565580400347</v>
      </c>
      <c r="CE119" s="303">
        <v>4135.0003152433601</v>
      </c>
      <c r="CF119" s="303">
        <v>4876.5322009564115</v>
      </c>
      <c r="CG119" s="304">
        <v>4321.2712547802603</v>
      </c>
      <c r="CH119" s="304">
        <v>4843.992387546301</v>
      </c>
      <c r="CI119" s="303">
        <v>5169.589129811472</v>
      </c>
      <c r="CJ119" s="303">
        <v>4979.7669861752693</v>
      </c>
      <c r="CK119" s="304">
        <v>4980.9905522995332</v>
      </c>
      <c r="CL119" s="304">
        <v>4932.8023876049037</v>
      </c>
      <c r="CM119" s="303">
        <v>4954.5377039806681</v>
      </c>
      <c r="CN119" s="303">
        <v>5001.1482593263136</v>
      </c>
      <c r="CO119" s="304">
        <v>5112.5687181045196</v>
      </c>
      <c r="CP119" s="304">
        <v>4917.7287885619762</v>
      </c>
      <c r="CQ119" s="303">
        <v>5260.1688464593899</v>
      </c>
      <c r="CR119" s="303">
        <v>4989.8237111836024</v>
      </c>
      <c r="CS119" s="304">
        <v>5108.0124582341514</v>
      </c>
      <c r="CT119" s="304">
        <v>4979.5778930831466</v>
      </c>
      <c r="CU119" s="303">
        <v>5823.9685896875035</v>
      </c>
      <c r="CV119" s="303">
        <v>5217.3143951209386</v>
      </c>
      <c r="CW119" s="304">
        <v>5670.4216741637119</v>
      </c>
      <c r="CX119" s="304">
        <v>5158.3220452360065</v>
      </c>
      <c r="CY119" s="303">
        <v>5418.1086180486454</v>
      </c>
      <c r="CZ119" s="303">
        <v>5154.9648994951449</v>
      </c>
      <c r="DA119" s="304">
        <v>5467.4637025802049</v>
      </c>
      <c r="DB119" s="304">
        <v>5519.8215795908009</v>
      </c>
    </row>
    <row r="120" spans="2:106" ht="14.25" customHeight="1" x14ac:dyDescent="0.25">
      <c r="B120" s="443" t="s">
        <v>762</v>
      </c>
      <c r="C120" s="272"/>
      <c r="D120" s="272"/>
      <c r="E120" s="272"/>
      <c r="G120" s="303">
        <v>603.35385387671727</v>
      </c>
      <c r="H120" s="303">
        <v>8220.7582730917093</v>
      </c>
      <c r="I120" s="304">
        <v>878.93463843098721</v>
      </c>
      <c r="J120" s="304">
        <v>15804.450135245006</v>
      </c>
      <c r="K120" s="303">
        <v>970.11938985549205</v>
      </c>
      <c r="L120" s="303">
        <v>16028.404968488912</v>
      </c>
      <c r="M120" s="304">
        <v>1080.9683647736829</v>
      </c>
      <c r="N120" s="304">
        <v>16807.038398730456</v>
      </c>
      <c r="O120" s="303">
        <v>1188.0877590392543</v>
      </c>
      <c r="P120" s="303">
        <v>17748.223210207892</v>
      </c>
      <c r="Q120" s="304">
        <v>1301.4246479433978</v>
      </c>
      <c r="R120" s="304">
        <v>18282.627488516693</v>
      </c>
      <c r="S120" s="303">
        <v>1091.3929875431727</v>
      </c>
      <c r="T120" s="303">
        <v>17577.62489828383</v>
      </c>
      <c r="U120" s="304">
        <v>1141.1894951554732</v>
      </c>
      <c r="V120" s="304">
        <v>17702.378504242282</v>
      </c>
      <c r="W120" s="303">
        <v>1190.9860027677737</v>
      </c>
      <c r="X120" s="303">
        <v>17235.033810604597</v>
      </c>
      <c r="Y120" s="304">
        <v>1397.3932762944869</v>
      </c>
      <c r="Z120" s="304">
        <v>17080.676451420324</v>
      </c>
      <c r="AA120" s="303">
        <v>1596.5447583493428</v>
      </c>
      <c r="AB120" s="303">
        <v>16363.020958222573</v>
      </c>
      <c r="AC120" s="304">
        <v>1647.7949913524099</v>
      </c>
      <c r="AD120" s="304">
        <v>16750.223347208685</v>
      </c>
      <c r="AE120" s="303">
        <v>1699.0452243554773</v>
      </c>
      <c r="AF120" s="303">
        <v>17027.802602647065</v>
      </c>
      <c r="AG120" s="304">
        <v>1833.1074573585445</v>
      </c>
      <c r="AH120" s="304">
        <v>16848.048150823262</v>
      </c>
      <c r="AI120" s="305">
        <v>2209.950899281409</v>
      </c>
      <c r="AJ120" s="305">
        <v>16955.776973220331</v>
      </c>
      <c r="AK120" s="304">
        <v>2229.1155201792053</v>
      </c>
      <c r="AL120" s="304">
        <v>18072.186664737168</v>
      </c>
      <c r="AM120" s="303">
        <v>2248.2801410770021</v>
      </c>
      <c r="AN120" s="303">
        <v>17570.267404111069</v>
      </c>
      <c r="AO120" s="304">
        <v>2267.4447619747984</v>
      </c>
      <c r="AP120" s="304">
        <v>18570.138205080042</v>
      </c>
      <c r="AQ120" s="303">
        <v>2331.6034898539606</v>
      </c>
      <c r="AR120" s="303">
        <v>19503.827215287958</v>
      </c>
      <c r="AS120" s="304">
        <v>2392.6775906772355</v>
      </c>
      <c r="AT120" s="304">
        <v>20535.241044386785</v>
      </c>
      <c r="AU120" s="303">
        <v>2453.7516915005099</v>
      </c>
      <c r="AV120" s="303">
        <v>20412.67594575401</v>
      </c>
      <c r="AW120" s="304">
        <v>2514.8257923237852</v>
      </c>
      <c r="AX120" s="304">
        <v>20044.320225684962</v>
      </c>
      <c r="AY120" s="303">
        <v>2531.9897778391887</v>
      </c>
      <c r="AZ120" s="303">
        <v>19831.883191273275</v>
      </c>
      <c r="BA120" s="304">
        <v>2549.1537633545931</v>
      </c>
      <c r="BB120" s="304">
        <v>19910.058283986305</v>
      </c>
      <c r="BC120" s="303">
        <v>2566.3177488699976</v>
      </c>
      <c r="BD120" s="303">
        <v>20328.108548149696</v>
      </c>
      <c r="BE120" s="304">
        <v>2583.4817343854011</v>
      </c>
      <c r="BF120" s="304">
        <v>20583.773196304181</v>
      </c>
      <c r="BG120" s="303">
        <v>2528.1118844599987</v>
      </c>
      <c r="BH120" s="303">
        <v>19051.361647034082</v>
      </c>
      <c r="BI120" s="304">
        <v>2472.7420345345963</v>
      </c>
      <c r="BJ120" s="304">
        <v>19244.442183510258</v>
      </c>
      <c r="BK120" s="303">
        <v>2417.372184609193</v>
      </c>
      <c r="BL120" s="303">
        <v>20005.442875932629</v>
      </c>
      <c r="BM120" s="304">
        <v>2362.0023346837907</v>
      </c>
      <c r="BN120" s="304">
        <v>21039.837598853352</v>
      </c>
      <c r="BO120" s="303">
        <v>2430.1025135048599</v>
      </c>
      <c r="BP120" s="303">
        <v>21757.983378394631</v>
      </c>
      <c r="BQ120" s="304">
        <v>2498.4526923259282</v>
      </c>
      <c r="BR120" s="304">
        <v>21776.659647663524</v>
      </c>
      <c r="BS120" s="303">
        <v>2566.8028711469965</v>
      </c>
      <c r="BT120" s="303">
        <v>23224.055247418964</v>
      </c>
      <c r="BU120" s="304">
        <v>2635.1530499680648</v>
      </c>
      <c r="BV120" s="304">
        <v>24373.030293757569</v>
      </c>
      <c r="BW120" s="303">
        <v>2715.4773798558308</v>
      </c>
      <c r="BX120" s="303">
        <v>20526.048057994754</v>
      </c>
      <c r="BY120" s="304">
        <v>2795.8017097435973</v>
      </c>
      <c r="BZ120" s="304">
        <v>19659.324879946078</v>
      </c>
      <c r="CA120" s="303">
        <v>2876.1260396313637</v>
      </c>
      <c r="CB120" s="303">
        <v>20506.523281714562</v>
      </c>
      <c r="CC120" s="304">
        <v>2956.4503695191297</v>
      </c>
      <c r="CD120" s="304">
        <v>18821.87516216368</v>
      </c>
      <c r="CE120" s="303">
        <v>2945.7666906066297</v>
      </c>
      <c r="CF120" s="303">
        <v>19242.498060744765</v>
      </c>
      <c r="CG120" s="304">
        <v>2882.4823289841297</v>
      </c>
      <c r="CH120" s="304">
        <v>19325.571719440733</v>
      </c>
      <c r="CI120" s="303">
        <v>3002.5146219716298</v>
      </c>
      <c r="CJ120" s="303">
        <v>19373.991318735272</v>
      </c>
      <c r="CK120" s="304">
        <v>3151.3818783091297</v>
      </c>
      <c r="CL120" s="304">
        <v>19279.659011995376</v>
      </c>
      <c r="CM120" s="303">
        <v>3261.7462799171926</v>
      </c>
      <c r="CN120" s="303">
        <v>19763.525123147912</v>
      </c>
      <c r="CO120" s="304">
        <v>3302.8292290086429</v>
      </c>
      <c r="CP120" s="304">
        <v>20801.42182970979</v>
      </c>
      <c r="CQ120" s="303">
        <v>3385.5281393081418</v>
      </c>
      <c r="CR120" s="303">
        <v>20896.609108925928</v>
      </c>
      <c r="CS120" s="304">
        <v>3311.6323857459984</v>
      </c>
      <c r="CT120" s="304">
        <v>20618.140286176982</v>
      </c>
      <c r="CU120" s="303">
        <v>3439.0120272302911</v>
      </c>
      <c r="CV120" s="303">
        <v>20737.006160437471</v>
      </c>
      <c r="CW120" s="304">
        <v>3531.2942890674985</v>
      </c>
      <c r="CX120" s="304">
        <v>21097.769635595032</v>
      </c>
      <c r="CY120" s="303">
        <v>3633.8830950287302</v>
      </c>
      <c r="CZ120" s="303">
        <v>21690.823397190747</v>
      </c>
      <c r="DA120" s="304">
        <v>3764.8425195107484</v>
      </c>
      <c r="DB120" s="304">
        <v>22192.303267429623</v>
      </c>
    </row>
    <row r="121" spans="2:106" ht="14.25" customHeight="1" x14ac:dyDescent="0.25">
      <c r="B121" s="443"/>
      <c r="C121" s="272"/>
      <c r="D121" s="272"/>
      <c r="E121" s="272"/>
      <c r="G121" s="303"/>
      <c r="H121" s="303"/>
      <c r="I121" s="304"/>
      <c r="J121" s="304"/>
      <c r="K121" s="303"/>
      <c r="L121" s="303"/>
      <c r="M121" s="304"/>
      <c r="N121" s="304"/>
      <c r="O121" s="303"/>
      <c r="P121" s="303"/>
      <c r="Q121" s="304"/>
      <c r="R121" s="304"/>
      <c r="S121" s="303"/>
      <c r="T121" s="303"/>
      <c r="U121" s="304"/>
      <c r="V121" s="304"/>
      <c r="W121" s="303"/>
      <c r="X121" s="303"/>
      <c r="Y121" s="304"/>
      <c r="Z121" s="304"/>
      <c r="AA121" s="303"/>
      <c r="AB121" s="303"/>
      <c r="AC121" s="304"/>
      <c r="AD121" s="304"/>
      <c r="AE121" s="303"/>
      <c r="AF121" s="303"/>
      <c r="AG121" s="304"/>
      <c r="AH121" s="304"/>
      <c r="AI121" s="305"/>
      <c r="AJ121" s="305"/>
      <c r="AK121" s="304"/>
      <c r="AL121" s="304"/>
      <c r="AM121" s="303"/>
      <c r="AN121" s="303"/>
      <c r="AO121" s="304"/>
      <c r="AP121" s="304"/>
      <c r="AQ121" s="303"/>
      <c r="AR121" s="303"/>
      <c r="AS121" s="304"/>
      <c r="AT121" s="304"/>
      <c r="AU121" s="303"/>
      <c r="AV121" s="303"/>
      <c r="AW121" s="304"/>
      <c r="AX121" s="304"/>
      <c r="AY121" s="303"/>
      <c r="AZ121" s="303"/>
      <c r="BA121" s="304"/>
      <c r="BB121" s="304"/>
      <c r="BC121" s="303"/>
      <c r="BD121" s="303"/>
      <c r="BE121" s="304"/>
      <c r="BF121" s="304"/>
      <c r="BG121" s="303"/>
      <c r="BH121" s="303"/>
      <c r="BI121" s="304"/>
      <c r="BJ121" s="304"/>
      <c r="BK121" s="303"/>
      <c r="BL121" s="303"/>
      <c r="BM121" s="304"/>
      <c r="BN121" s="304"/>
      <c r="BO121" s="303"/>
      <c r="BP121" s="303"/>
      <c r="BQ121" s="304"/>
      <c r="BR121" s="304"/>
      <c r="BS121" s="303"/>
      <c r="BT121" s="303"/>
      <c r="BU121" s="304"/>
      <c r="BV121" s="304"/>
      <c r="BW121" s="303"/>
      <c r="BX121" s="303"/>
      <c r="BY121" s="304"/>
      <c r="BZ121" s="304"/>
      <c r="CA121" s="303"/>
      <c r="CB121" s="303"/>
      <c r="CC121" s="304"/>
      <c r="CD121" s="304"/>
      <c r="CE121" s="303"/>
      <c r="CF121" s="303"/>
      <c r="CG121" s="304"/>
      <c r="CH121" s="304"/>
      <c r="CI121" s="303"/>
      <c r="CJ121" s="303"/>
      <c r="CK121" s="304"/>
      <c r="CL121" s="304"/>
      <c r="CM121" s="303"/>
      <c r="CN121" s="303"/>
      <c r="CO121" s="304"/>
      <c r="CP121" s="304"/>
      <c r="CQ121" s="303"/>
      <c r="CR121" s="303"/>
      <c r="CS121" s="304"/>
      <c r="CT121" s="304"/>
      <c r="CU121" s="303"/>
      <c r="CV121" s="303"/>
      <c r="CW121" s="304"/>
      <c r="CX121" s="304"/>
      <c r="CY121" s="303"/>
      <c r="CZ121" s="303"/>
      <c r="DA121" s="304"/>
      <c r="DB121" s="304"/>
    </row>
    <row r="122" spans="2:106" ht="14.25" customHeight="1" x14ac:dyDescent="0.25">
      <c r="B122" s="448" t="s">
        <v>764</v>
      </c>
      <c r="C122" s="448"/>
      <c r="D122" s="448"/>
      <c r="E122" s="448"/>
      <c r="F122" s="448"/>
      <c r="G122" s="441">
        <v>4163.2040300020144</v>
      </c>
      <c r="H122" s="441"/>
      <c r="I122" s="441">
        <v>5148.3779937435811</v>
      </c>
      <c r="J122" s="441"/>
      <c r="K122" s="441">
        <v>5976.9276001189528</v>
      </c>
      <c r="L122" s="441"/>
      <c r="M122" s="441">
        <v>7102.2672605213093</v>
      </c>
      <c r="N122" s="441"/>
      <c r="O122" s="441">
        <v>7144.296488838826</v>
      </c>
      <c r="P122" s="441"/>
      <c r="Q122" s="441">
        <v>6517.483601769849</v>
      </c>
      <c r="R122" s="441"/>
      <c r="S122" s="441">
        <v>5500.6854682790408</v>
      </c>
      <c r="T122" s="441"/>
      <c r="U122" s="441">
        <v>5725.7626679506129</v>
      </c>
      <c r="V122" s="441"/>
      <c r="W122" s="441">
        <v>4201.0160974678292</v>
      </c>
      <c r="X122" s="441"/>
      <c r="Y122" s="441">
        <v>5028.7519414807921</v>
      </c>
      <c r="Z122" s="441"/>
      <c r="AA122" s="441">
        <v>4308.5291731878206</v>
      </c>
      <c r="AB122" s="441"/>
      <c r="AC122" s="441">
        <v>3842.670218707874</v>
      </c>
      <c r="AD122" s="441"/>
      <c r="AE122" s="441">
        <v>5271.817430822397</v>
      </c>
      <c r="AF122" s="441"/>
      <c r="AG122" s="441">
        <v>4528.9552831739802</v>
      </c>
      <c r="AH122" s="441"/>
      <c r="AI122" s="442">
        <v>4353.127040362695</v>
      </c>
      <c r="AJ122" s="442"/>
      <c r="AK122" s="441">
        <v>6092.3361763468583</v>
      </c>
      <c r="AL122" s="441"/>
      <c r="AM122" s="441">
        <v>6555.6181259268324</v>
      </c>
      <c r="AN122" s="441"/>
      <c r="AO122" s="441">
        <v>6597.4100373429656</v>
      </c>
      <c r="AP122" s="441"/>
      <c r="AQ122" s="441">
        <v>6286.4150200638605</v>
      </c>
      <c r="AR122" s="441"/>
      <c r="AS122" s="441">
        <v>7745.8472925308479</v>
      </c>
      <c r="AT122" s="441"/>
      <c r="AU122" s="441">
        <v>5947.6284705027847</v>
      </c>
      <c r="AV122" s="441"/>
      <c r="AW122" s="441">
        <v>5494.5486591292865</v>
      </c>
      <c r="AX122" s="441"/>
      <c r="AY122" s="441">
        <v>6406.9656168332476</v>
      </c>
      <c r="AZ122" s="441"/>
      <c r="BA122" s="441">
        <v>7321.9487094462238</v>
      </c>
      <c r="BB122" s="441"/>
      <c r="BC122" s="441">
        <v>6283.6683943441558</v>
      </c>
      <c r="BD122" s="441"/>
      <c r="BE122" s="441">
        <v>5871.1082642628444</v>
      </c>
      <c r="BF122" s="441"/>
      <c r="BG122" s="441">
        <v>6014.3941803196149</v>
      </c>
      <c r="BH122" s="441"/>
      <c r="BI122" s="441">
        <v>5110.9031647973043</v>
      </c>
      <c r="BJ122" s="441"/>
      <c r="BK122" s="441">
        <v>4766.8871936320165</v>
      </c>
      <c r="BL122" s="441"/>
      <c r="BM122" s="441">
        <v>3543.4148550417276</v>
      </c>
      <c r="BN122" s="441"/>
      <c r="BO122" s="441">
        <v>2442.8397563252288</v>
      </c>
      <c r="BP122" s="441"/>
      <c r="BQ122" s="441">
        <v>2282.5828896737708</v>
      </c>
      <c r="BR122" s="441"/>
      <c r="BS122" s="441">
        <v>970.27837847731598</v>
      </c>
      <c r="BT122" s="441"/>
      <c r="BU122" s="441">
        <v>-423.18020509301004</v>
      </c>
      <c r="BV122" s="441"/>
      <c r="BW122" s="441">
        <v>-2692.6134114131355</v>
      </c>
      <c r="BX122" s="441"/>
      <c r="BY122" s="441">
        <v>-3237.4741368377513</v>
      </c>
      <c r="BZ122" s="441"/>
      <c r="CA122" s="441">
        <v>-3350.6415004098235</v>
      </c>
      <c r="CB122" s="441"/>
      <c r="CC122" s="441">
        <v>-3229.2856424317451</v>
      </c>
      <c r="CD122" s="441"/>
      <c r="CE122" s="441">
        <v>-2370.9851515829523</v>
      </c>
      <c r="CF122" s="441"/>
      <c r="CG122" s="441">
        <v>-1271.7302838392507</v>
      </c>
      <c r="CH122" s="441"/>
      <c r="CI122" s="441">
        <v>-1366.3434976887165</v>
      </c>
      <c r="CJ122" s="441"/>
      <c r="CK122" s="441">
        <v>-403.6526910957009</v>
      </c>
      <c r="CL122" s="441"/>
      <c r="CM122" s="441">
        <v>316.10967207143221</v>
      </c>
      <c r="CN122" s="441"/>
      <c r="CO122" s="441">
        <v>1357.4121525433775</v>
      </c>
      <c r="CP122" s="441"/>
      <c r="CQ122" s="441">
        <v>1881.2085455450588</v>
      </c>
      <c r="CR122" s="441"/>
      <c r="CS122" s="441">
        <v>2486.7377154750038</v>
      </c>
      <c r="CT122" s="441"/>
      <c r="CU122" s="441">
        <v>3143.6403997144207</v>
      </c>
      <c r="CV122" s="441"/>
      <c r="CW122" s="441">
        <v>3009.2090108314219</v>
      </c>
      <c r="CX122" s="441"/>
      <c r="CY122" s="441">
        <v>3425.4145275704423</v>
      </c>
      <c r="CZ122" s="441"/>
      <c r="DA122" s="441">
        <v>4285.2234841224399</v>
      </c>
      <c r="DB122" s="441"/>
    </row>
    <row r="123" spans="2:106" ht="6" customHeight="1" x14ac:dyDescent="0.25">
      <c r="B123" s="447"/>
      <c r="C123" s="447"/>
      <c r="D123" s="447"/>
      <c r="E123" s="447"/>
      <c r="F123" s="447"/>
      <c r="G123" s="298"/>
      <c r="H123" s="298"/>
      <c r="I123" s="298"/>
      <c r="J123" s="298"/>
      <c r="K123" s="298"/>
      <c r="L123" s="298"/>
      <c r="M123" s="298"/>
      <c r="N123" s="298"/>
      <c r="O123" s="298"/>
      <c r="P123" s="298"/>
      <c r="Q123" s="298"/>
      <c r="R123" s="298"/>
      <c r="S123" s="298"/>
      <c r="T123" s="298"/>
      <c r="U123" s="298"/>
      <c r="V123" s="298"/>
      <c r="W123" s="298"/>
      <c r="X123" s="298"/>
      <c r="Y123" s="298"/>
      <c r="Z123" s="298"/>
      <c r="AA123" s="298"/>
      <c r="AB123" s="298"/>
      <c r="AC123" s="298"/>
      <c r="AD123" s="298"/>
      <c r="AE123" s="298"/>
      <c r="AF123" s="298"/>
      <c r="AG123" s="298"/>
      <c r="AH123" s="298"/>
      <c r="AI123" s="300"/>
      <c r="AJ123" s="300"/>
      <c r="AK123" s="298"/>
      <c r="AL123" s="298"/>
      <c r="AM123" s="298"/>
      <c r="AN123" s="298"/>
      <c r="AO123" s="298"/>
      <c r="AP123" s="298"/>
      <c r="AQ123" s="298"/>
      <c r="AR123" s="298"/>
      <c r="AS123" s="298"/>
      <c r="AT123" s="298"/>
      <c r="AU123" s="298"/>
      <c r="AV123" s="298"/>
      <c r="AW123" s="298"/>
      <c r="AX123" s="298"/>
      <c r="AY123" s="298"/>
      <c r="AZ123" s="298"/>
      <c r="BA123" s="298"/>
      <c r="BB123" s="298"/>
      <c r="BC123" s="298"/>
      <c r="BD123" s="298"/>
      <c r="BE123" s="298"/>
      <c r="BF123" s="298"/>
      <c r="BG123" s="298"/>
      <c r="BH123" s="298"/>
      <c r="BI123" s="298"/>
      <c r="BJ123" s="298"/>
      <c r="BK123" s="298"/>
      <c r="BL123" s="298"/>
      <c r="BM123" s="298"/>
      <c r="BN123" s="298"/>
      <c r="BO123" s="298"/>
      <c r="BP123" s="298"/>
      <c r="BQ123" s="298"/>
      <c r="BR123" s="298"/>
      <c r="BS123" s="298"/>
      <c r="BT123" s="298"/>
      <c r="BU123" s="298"/>
      <c r="BV123" s="298"/>
      <c r="BW123" s="298"/>
      <c r="BX123" s="298"/>
      <c r="BY123" s="298"/>
      <c r="BZ123" s="298"/>
      <c r="CA123" s="298"/>
      <c r="CB123" s="298"/>
      <c r="CC123" s="298"/>
      <c r="CD123" s="298"/>
      <c r="CE123" s="298"/>
      <c r="CF123" s="298"/>
      <c r="CG123" s="298"/>
      <c r="CH123" s="298"/>
      <c r="CI123" s="298"/>
      <c r="CJ123" s="298"/>
      <c r="CK123" s="298"/>
      <c r="CL123" s="298"/>
      <c r="CM123" s="298"/>
      <c r="CN123" s="298"/>
      <c r="CO123" s="298"/>
      <c r="CP123" s="298"/>
      <c r="CQ123" s="298"/>
      <c r="CR123" s="298"/>
      <c r="CS123" s="298"/>
      <c r="CT123" s="298"/>
      <c r="CU123" s="298"/>
      <c r="CV123" s="298"/>
      <c r="CW123" s="298"/>
      <c r="CX123" s="298"/>
      <c r="CY123" s="298"/>
      <c r="CZ123" s="298"/>
      <c r="DA123" s="298"/>
      <c r="DB123" s="298"/>
    </row>
    <row r="124" spans="2:106" ht="14.25" customHeight="1" x14ac:dyDescent="0.25">
      <c r="B124" s="440" t="s">
        <v>765</v>
      </c>
      <c r="C124" s="440"/>
      <c r="D124" s="440"/>
      <c r="E124" s="440"/>
      <c r="F124" s="440"/>
      <c r="G124" s="441">
        <v>151.12282419639132</v>
      </c>
      <c r="H124" s="441"/>
      <c r="I124" s="441">
        <v>985.17396374156669</v>
      </c>
      <c r="J124" s="441"/>
      <c r="K124" s="441">
        <v>828.5496063753717</v>
      </c>
      <c r="L124" s="441"/>
      <c r="M124" s="441">
        <v>1953.8892667777282</v>
      </c>
      <c r="N124" s="441"/>
      <c r="O124" s="441">
        <v>1995.9184950952449</v>
      </c>
      <c r="P124" s="441"/>
      <c r="Q124" s="441">
        <v>1369.1056080262679</v>
      </c>
      <c r="R124" s="441"/>
      <c r="S124" s="441">
        <v>-1016.7981334908081</v>
      </c>
      <c r="T124" s="441"/>
      <c r="U124" s="441">
        <v>-791.72093381923605</v>
      </c>
      <c r="V124" s="441"/>
      <c r="W124" s="441">
        <v>-2316.4675043020197</v>
      </c>
      <c r="X124" s="441"/>
      <c r="Y124" s="441">
        <v>-1488.7316602890569</v>
      </c>
      <c r="Z124" s="441"/>
      <c r="AA124" s="441">
        <v>-720.22276829297152</v>
      </c>
      <c r="AB124" s="441"/>
      <c r="AC124" s="441">
        <v>-1186.0817227729181</v>
      </c>
      <c r="AD124" s="441"/>
      <c r="AE124" s="441">
        <v>243.06548934160492</v>
      </c>
      <c r="AF124" s="441"/>
      <c r="AG124" s="441">
        <v>-499.79665830681188</v>
      </c>
      <c r="AH124" s="441"/>
      <c r="AI124" s="442">
        <v>-175.82824281128524</v>
      </c>
      <c r="AJ124" s="442"/>
      <c r="AK124" s="441">
        <v>1563.3808931728781</v>
      </c>
      <c r="AL124" s="441"/>
      <c r="AM124" s="441">
        <v>2026.6628427528522</v>
      </c>
      <c r="AN124" s="441"/>
      <c r="AO124" s="441">
        <v>2068.4547541689853</v>
      </c>
      <c r="AP124" s="441"/>
      <c r="AQ124" s="441">
        <v>-310.99501727910501</v>
      </c>
      <c r="AR124" s="441"/>
      <c r="AS124" s="441">
        <v>1148.4372551878823</v>
      </c>
      <c r="AT124" s="441"/>
      <c r="AU124" s="441">
        <v>-649.78156684018086</v>
      </c>
      <c r="AV124" s="441"/>
      <c r="AW124" s="441">
        <v>-1102.861378213679</v>
      </c>
      <c r="AX124" s="441"/>
      <c r="AY124" s="441">
        <v>912.41695770396109</v>
      </c>
      <c r="AZ124" s="441"/>
      <c r="BA124" s="441">
        <v>1827.4000503169373</v>
      </c>
      <c r="BB124" s="441"/>
      <c r="BC124" s="441">
        <v>789.11973521486925</v>
      </c>
      <c r="BD124" s="441"/>
      <c r="BE124" s="441">
        <v>376.55960513355785</v>
      </c>
      <c r="BF124" s="441"/>
      <c r="BG124" s="441">
        <v>143.28591605677047</v>
      </c>
      <c r="BH124" s="441"/>
      <c r="BI124" s="441">
        <v>-760.20509946554012</v>
      </c>
      <c r="BJ124" s="441"/>
      <c r="BK124" s="441">
        <v>-1104.2210706308279</v>
      </c>
      <c r="BL124" s="441"/>
      <c r="BM124" s="441">
        <v>-2327.6934092211168</v>
      </c>
      <c r="BN124" s="441"/>
      <c r="BO124" s="441">
        <v>-1100.5750987164988</v>
      </c>
      <c r="BP124" s="441"/>
      <c r="BQ124" s="441">
        <v>-1260.8319653679569</v>
      </c>
      <c r="BR124" s="441"/>
      <c r="BS124" s="441">
        <v>-2573.1364765644116</v>
      </c>
      <c r="BT124" s="441"/>
      <c r="BU124" s="441">
        <v>-3966.5950601347377</v>
      </c>
      <c r="BV124" s="441"/>
      <c r="BW124" s="441">
        <v>-2269.4332063201255</v>
      </c>
      <c r="BX124" s="441"/>
      <c r="BY124" s="441">
        <v>-2814.2939317447413</v>
      </c>
      <c r="BZ124" s="441"/>
      <c r="CA124" s="441">
        <v>-2927.4612953168134</v>
      </c>
      <c r="CB124" s="441"/>
      <c r="CC124" s="441">
        <v>-2806.1054373387351</v>
      </c>
      <c r="CD124" s="441"/>
      <c r="CE124" s="441">
        <v>858.30049084879283</v>
      </c>
      <c r="CF124" s="441"/>
      <c r="CG124" s="441">
        <v>1957.5553585924945</v>
      </c>
      <c r="CH124" s="441"/>
      <c r="CI124" s="441">
        <v>1862.9421447430286</v>
      </c>
      <c r="CJ124" s="441"/>
      <c r="CK124" s="441">
        <v>2825.6329513360442</v>
      </c>
      <c r="CL124" s="441"/>
      <c r="CM124" s="441">
        <v>719.76236316713312</v>
      </c>
      <c r="CN124" s="441"/>
      <c r="CO124" s="441">
        <v>1761.0648436390784</v>
      </c>
      <c r="CP124" s="441"/>
      <c r="CQ124" s="441">
        <v>2284.8612366407597</v>
      </c>
      <c r="CR124" s="441"/>
      <c r="CS124" s="441">
        <v>2890.3904065707047</v>
      </c>
      <c r="CT124" s="441"/>
      <c r="CU124" s="441">
        <v>656.90268423941689</v>
      </c>
      <c r="CV124" s="441"/>
      <c r="CW124" s="441">
        <v>522.47129535641807</v>
      </c>
      <c r="CX124" s="441"/>
      <c r="CY124" s="441">
        <v>938.67681209543844</v>
      </c>
      <c r="CZ124" s="441"/>
      <c r="DA124" s="441">
        <v>1798.4857686474361</v>
      </c>
      <c r="DB124" s="441"/>
    </row>
    <row r="125" spans="2:106" ht="14.25" customHeight="1" x14ac:dyDescent="0.25">
      <c r="B125" s="449"/>
      <c r="C125" s="450"/>
      <c r="D125" s="450"/>
      <c r="E125" s="450"/>
      <c r="F125" s="451"/>
      <c r="G125" s="452"/>
      <c r="H125" s="452"/>
      <c r="I125" s="453"/>
      <c r="J125" s="453"/>
      <c r="K125" s="452"/>
      <c r="L125" s="452"/>
      <c r="M125" s="453"/>
      <c r="N125" s="453"/>
      <c r="O125" s="452"/>
      <c r="P125" s="452"/>
      <c r="Q125" s="453"/>
      <c r="R125" s="453"/>
      <c r="S125" s="452"/>
      <c r="T125" s="452"/>
      <c r="U125" s="453"/>
      <c r="V125" s="453"/>
      <c r="W125" s="452"/>
      <c r="X125" s="452"/>
      <c r="Y125" s="453"/>
      <c r="Z125" s="453"/>
      <c r="AA125" s="452"/>
      <c r="AB125" s="452"/>
      <c r="AC125" s="453"/>
      <c r="AD125" s="453"/>
      <c r="AE125" s="452"/>
      <c r="AF125" s="452"/>
      <c r="AG125" s="453"/>
      <c r="AH125" s="453"/>
      <c r="AI125" s="454"/>
      <c r="AJ125" s="454"/>
      <c r="AK125" s="453"/>
      <c r="AL125" s="453"/>
      <c r="AM125" s="452"/>
      <c r="AN125" s="452"/>
      <c r="AO125" s="453"/>
      <c r="AP125" s="453"/>
      <c r="AQ125" s="452"/>
      <c r="AR125" s="452"/>
      <c r="AS125" s="453"/>
      <c r="AT125" s="453"/>
      <c r="AU125" s="452"/>
      <c r="AV125" s="452"/>
      <c r="AW125" s="453"/>
      <c r="AX125" s="453"/>
      <c r="AY125" s="452"/>
      <c r="AZ125" s="452"/>
      <c r="BA125" s="453"/>
      <c r="BB125" s="453"/>
      <c r="BC125" s="452"/>
      <c r="BD125" s="452"/>
      <c r="BE125" s="453"/>
      <c r="BF125" s="453"/>
      <c r="BG125" s="452"/>
      <c r="BH125" s="452"/>
      <c r="BI125" s="453"/>
      <c r="BJ125" s="453"/>
      <c r="BK125" s="452"/>
      <c r="BL125" s="452"/>
      <c r="BM125" s="453"/>
      <c r="BN125" s="453"/>
      <c r="BO125" s="452"/>
      <c r="BP125" s="452"/>
      <c r="BQ125" s="453"/>
      <c r="BR125" s="453"/>
      <c r="BS125" s="452"/>
      <c r="BT125" s="452"/>
      <c r="BU125" s="453"/>
      <c r="BV125" s="453"/>
      <c r="BW125" s="452"/>
      <c r="BX125" s="452"/>
      <c r="BY125" s="453"/>
      <c r="BZ125" s="453"/>
      <c r="CA125" s="452"/>
      <c r="CB125" s="452"/>
      <c r="CC125" s="453"/>
      <c r="CD125" s="453"/>
      <c r="CE125" s="452"/>
      <c r="CF125" s="452"/>
      <c r="CG125" s="453"/>
      <c r="CH125" s="453"/>
      <c r="CI125" s="452"/>
      <c r="CJ125" s="452"/>
      <c r="CK125" s="453"/>
      <c r="CL125" s="453"/>
      <c r="CM125" s="452"/>
      <c r="CN125" s="452"/>
      <c r="CO125" s="453"/>
      <c r="CP125" s="453"/>
      <c r="CQ125" s="452"/>
      <c r="CR125" s="452"/>
      <c r="CS125" s="453"/>
      <c r="CT125" s="453"/>
      <c r="CU125" s="452"/>
      <c r="CV125" s="452"/>
      <c r="CW125" s="453"/>
      <c r="CX125" s="453"/>
      <c r="CY125" s="452"/>
      <c r="CZ125" s="452"/>
      <c r="DA125" s="453"/>
      <c r="DB125" s="453"/>
    </row>
    <row r="126" spans="2:106" x14ac:dyDescent="0.25">
      <c r="I126" s="303"/>
    </row>
    <row r="127" spans="2:106" x14ac:dyDescent="0.25">
      <c r="B127" s="272" t="s">
        <v>559</v>
      </c>
      <c r="CY127" s="303"/>
    </row>
    <row r="129" spans="7:106" s="274" customFormat="1" ht="19.5" customHeight="1" x14ac:dyDescent="0.2">
      <c r="G129" s="284"/>
      <c r="H129" s="284"/>
      <c r="I129" s="284"/>
      <c r="J129" s="284"/>
      <c r="K129" s="284"/>
      <c r="L129" s="284"/>
      <c r="M129" s="284"/>
      <c r="N129" s="284"/>
      <c r="O129" s="284"/>
      <c r="P129" s="284"/>
      <c r="Q129" s="284"/>
      <c r="R129" s="284"/>
      <c r="S129" s="284"/>
      <c r="T129" s="284"/>
      <c r="U129" s="284"/>
      <c r="V129" s="284"/>
      <c r="W129" s="284"/>
      <c r="X129" s="284"/>
      <c r="Y129" s="284"/>
      <c r="Z129" s="284"/>
      <c r="AA129" s="284"/>
      <c r="AB129" s="284"/>
      <c r="AC129" s="284"/>
      <c r="AD129" s="284"/>
      <c r="AE129" s="284"/>
      <c r="AF129" s="284"/>
      <c r="AG129" s="284"/>
      <c r="AH129" s="284"/>
      <c r="AI129" s="374"/>
      <c r="AJ129" s="37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c r="BO129" s="284"/>
      <c r="BP129" s="284"/>
      <c r="BQ129" s="284"/>
      <c r="BR129" s="284"/>
      <c r="BS129" s="284"/>
      <c r="BT129" s="284"/>
      <c r="BU129" s="284"/>
      <c r="BV129" s="284"/>
      <c r="BW129" s="284"/>
      <c r="BX129" s="284"/>
      <c r="BY129" s="284"/>
      <c r="BZ129" s="284"/>
      <c r="CA129" s="284"/>
      <c r="CB129" s="284"/>
      <c r="CC129" s="284"/>
      <c r="CD129" s="284"/>
      <c r="CE129" s="284"/>
      <c r="CF129" s="284"/>
      <c r="CG129" s="284"/>
      <c r="CH129" s="284"/>
      <c r="CI129" s="284"/>
      <c r="CJ129" s="284"/>
      <c r="CK129" s="284"/>
      <c r="CL129" s="284"/>
      <c r="CM129" s="298"/>
      <c r="CN129" s="298"/>
      <c r="CO129" s="298"/>
      <c r="CP129" s="298"/>
      <c r="CQ129" s="298"/>
      <c r="CR129" s="298"/>
      <c r="CS129" s="298"/>
      <c r="CT129" s="298"/>
      <c r="CU129" s="298"/>
      <c r="CV129" s="298"/>
      <c r="CW129" s="298"/>
      <c r="CX129" s="298"/>
      <c r="CY129" s="298"/>
      <c r="CZ129" s="298"/>
      <c r="DA129" s="298"/>
      <c r="DB129" s="298"/>
    </row>
    <row r="130" spans="7:106" x14ac:dyDescent="0.25">
      <c r="CM130" s="298"/>
      <c r="CN130" s="298"/>
      <c r="CO130" s="298"/>
      <c r="CP130" s="298"/>
      <c r="CQ130" s="298"/>
      <c r="CR130" s="298"/>
      <c r="CS130" s="298"/>
      <c r="CT130" s="298"/>
      <c r="CU130" s="298"/>
      <c r="CV130" s="298"/>
      <c r="CW130" s="298"/>
      <c r="CX130" s="298"/>
      <c r="CY130" s="298"/>
      <c r="CZ130" s="298"/>
      <c r="DA130" s="298"/>
      <c r="DB130" s="298"/>
    </row>
    <row r="131" spans="7:106" x14ac:dyDescent="0.25">
      <c r="CS131" s="303"/>
      <c r="CT131" s="303"/>
      <c r="CU131" s="303"/>
      <c r="CV131" s="303"/>
      <c r="CW131" s="303"/>
      <c r="CX131" s="303"/>
      <c r="CY131" s="303"/>
      <c r="DA131" s="303"/>
      <c r="DB131" s="303"/>
    </row>
  </sheetData>
  <mergeCells count="55">
    <mergeCell ref="B124:F124"/>
    <mergeCell ref="CW9:CX9"/>
    <mergeCell ref="CY9:CZ9"/>
    <mergeCell ref="DA9:DB9"/>
    <mergeCell ref="B93:F93"/>
    <mergeCell ref="B103:F103"/>
    <mergeCell ref="B116:F116"/>
    <mergeCell ref="CK9:CL9"/>
    <mergeCell ref="CM9:CN9"/>
    <mergeCell ref="CO9:CP9"/>
    <mergeCell ref="CQ9:CR9"/>
    <mergeCell ref="CS9:CT9"/>
    <mergeCell ref="CU9:CV9"/>
    <mergeCell ref="BY9:BZ9"/>
    <mergeCell ref="CA9:CB9"/>
    <mergeCell ref="CC9:CD9"/>
    <mergeCell ref="CE9:CF9"/>
    <mergeCell ref="CG9:CH9"/>
    <mergeCell ref="CI9:CJ9"/>
    <mergeCell ref="BM9:BN9"/>
    <mergeCell ref="BO9:BP9"/>
    <mergeCell ref="BQ9:BR9"/>
    <mergeCell ref="BS9:BT9"/>
    <mergeCell ref="BU9:BV9"/>
    <mergeCell ref="BW9:BX9"/>
    <mergeCell ref="BA9:BB9"/>
    <mergeCell ref="BC9:B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B3:F3"/>
    <mergeCell ref="G9:H9"/>
    <mergeCell ref="I9:J9"/>
    <mergeCell ref="K9:L9"/>
    <mergeCell ref="M9:N9"/>
    <mergeCell ref="O9:P9"/>
  </mergeCells>
  <hyperlinks>
    <hyperlink ref="DB5" location="Contents!A1" display="Back to Contents" xr:uid="{AD0911FF-6613-441D-B104-EFDEBBAEF888}"/>
  </hyperlinks>
  <pageMargins left="0.93" right="0.7" top="1.25" bottom="1.25" header="0.3" footer="0.3"/>
  <pageSetup paperSize="9" scale="53" fitToHeight="3" orientation="portrait" r:id="rId1"/>
  <headerFooter>
    <oddHeader>&amp;L&amp;"Calibri"&amp;10&amp;K000000 [Limited Sharing]&amp;1#_x000D_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4456E-06D1-4C2D-B1B9-04386E392A51}">
  <sheetPr>
    <pageSetUpPr fitToPage="1"/>
  </sheetPr>
  <dimension ref="A1:Q204"/>
  <sheetViews>
    <sheetView showGridLines="0" zoomScaleNormal="100" zoomScaleSheetLayoutView="90" workbookViewId="0">
      <pane xSplit="1" ySplit="9" topLeftCell="B182" activePane="bottomRight" state="frozen"/>
      <selection activeCell="AA321" sqref="AA321"/>
      <selection pane="topRight" activeCell="AA321" sqref="AA321"/>
      <selection pane="bottomLeft" activeCell="AA321" sqref="AA321"/>
      <selection pane="bottomRight" activeCell="K2" sqref="K2"/>
    </sheetView>
  </sheetViews>
  <sheetFormatPr defaultColWidth="11.28515625" defaultRowHeight="15" x14ac:dyDescent="0.25"/>
  <cols>
    <col min="1" max="1" width="12" style="461" customWidth="1"/>
    <col min="2" max="2" width="12.28515625" style="458" hidden="1" customWidth="1"/>
    <col min="3" max="3" width="11.28515625" style="459"/>
    <col min="4" max="4" width="13.7109375" style="459" customWidth="1"/>
    <col min="5" max="5" width="15" style="459" customWidth="1"/>
    <col min="6" max="6" width="12" style="459" customWidth="1"/>
    <col min="7" max="7" width="16" style="459" customWidth="1"/>
    <col min="8" max="8" width="15" style="459" customWidth="1"/>
    <col min="9" max="9" width="11.7109375" style="459" customWidth="1"/>
    <col min="10" max="10" width="16.7109375" style="459" customWidth="1"/>
    <col min="11" max="11" width="16.42578125" style="459" customWidth="1"/>
    <col min="12" max="12" width="11.28515625" style="458"/>
    <col min="13" max="13" width="10" style="458" customWidth="1"/>
    <col min="14" max="16384" width="11.28515625" style="458"/>
  </cols>
  <sheetData>
    <row r="1" spans="1:15" ht="17.25" customHeight="1" x14ac:dyDescent="0.3">
      <c r="A1" s="273" t="s">
        <v>29</v>
      </c>
      <c r="B1" s="455"/>
      <c r="C1" s="456"/>
      <c r="D1" s="457"/>
      <c r="E1" s="456"/>
      <c r="F1" s="456"/>
      <c r="G1" s="456"/>
      <c r="H1" s="456"/>
      <c r="I1" s="456"/>
      <c r="J1" s="456"/>
      <c r="K1" s="282" t="s">
        <v>766</v>
      </c>
    </row>
    <row r="2" spans="1:15" ht="15.75" x14ac:dyDescent="0.25">
      <c r="A2" s="273" t="s">
        <v>286</v>
      </c>
      <c r="C2" s="456"/>
      <c r="D2" s="456"/>
      <c r="E2" s="456"/>
      <c r="F2" s="456"/>
      <c r="G2" s="456"/>
      <c r="H2" s="456"/>
      <c r="I2" s="456"/>
      <c r="K2" s="56" t="s">
        <v>10</v>
      </c>
    </row>
    <row r="3" spans="1:15" ht="18.75" x14ac:dyDescent="0.3">
      <c r="A3" s="283"/>
      <c r="C3" s="456"/>
      <c r="D3" s="456"/>
      <c r="E3" s="456"/>
      <c r="F3" s="456"/>
      <c r="G3" s="456"/>
      <c r="H3" s="456"/>
      <c r="I3" s="456"/>
      <c r="K3" s="56"/>
    </row>
    <row r="4" spans="1:15" ht="21" customHeight="1" x14ac:dyDescent="0.25">
      <c r="A4" s="460" t="s">
        <v>391</v>
      </c>
      <c r="B4" s="460"/>
      <c r="C4" s="460"/>
      <c r="D4" s="460"/>
      <c r="E4" s="460"/>
      <c r="F4" s="460"/>
      <c r="G4" s="460"/>
      <c r="H4" s="460"/>
      <c r="I4" s="460"/>
      <c r="J4" s="460"/>
      <c r="K4" s="460"/>
    </row>
    <row r="5" spans="1:15" ht="16.5" customHeight="1" x14ac:dyDescent="0.25">
      <c r="C5" s="462"/>
      <c r="K5" s="463" t="s">
        <v>424</v>
      </c>
    </row>
    <row r="6" spans="1:15" ht="34.5" customHeight="1" x14ac:dyDescent="0.25">
      <c r="A6" s="464" t="s">
        <v>767</v>
      </c>
      <c r="B6" s="465" t="s">
        <v>768</v>
      </c>
      <c r="C6" s="466" t="s">
        <v>595</v>
      </c>
      <c r="D6" s="467" t="s">
        <v>769</v>
      </c>
      <c r="E6" s="468" t="s">
        <v>770</v>
      </c>
      <c r="F6" s="469"/>
      <c r="G6" s="466" t="s">
        <v>771</v>
      </c>
      <c r="H6" s="470" t="s">
        <v>772</v>
      </c>
      <c r="I6" s="471"/>
      <c r="J6" s="466" t="s">
        <v>773</v>
      </c>
      <c r="K6" s="466" t="s">
        <v>774</v>
      </c>
    </row>
    <row r="7" spans="1:15" x14ac:dyDescent="0.25">
      <c r="A7" s="472"/>
      <c r="B7" s="473"/>
      <c r="C7" s="474"/>
      <c r="D7" s="475"/>
      <c r="E7" s="476" t="s">
        <v>775</v>
      </c>
      <c r="F7" s="475" t="s">
        <v>776</v>
      </c>
      <c r="G7" s="474"/>
      <c r="H7" s="477" t="s">
        <v>775</v>
      </c>
      <c r="I7" s="467" t="s">
        <v>776</v>
      </c>
      <c r="J7" s="474"/>
      <c r="K7" s="474"/>
    </row>
    <row r="8" spans="1:15" x14ac:dyDescent="0.25">
      <c r="A8" s="472"/>
      <c r="B8" s="473"/>
      <c r="C8" s="474"/>
      <c r="D8" s="475"/>
      <c r="E8" s="476"/>
      <c r="F8" s="475" t="s">
        <v>777</v>
      </c>
      <c r="G8" s="474"/>
      <c r="H8" s="477"/>
      <c r="I8" s="475" t="s">
        <v>777</v>
      </c>
      <c r="J8" s="474"/>
      <c r="K8" s="474"/>
    </row>
    <row r="9" spans="1:15" s="459" customFormat="1" x14ac:dyDescent="0.25">
      <c r="A9" s="472"/>
      <c r="B9" s="478"/>
      <c r="C9" s="479">
        <v>1</v>
      </c>
      <c r="D9" s="480">
        <v>2</v>
      </c>
      <c r="E9" s="479">
        <v>3</v>
      </c>
      <c r="F9" s="480">
        <v>4</v>
      </c>
      <c r="G9" s="479">
        <v>5</v>
      </c>
      <c r="H9" s="481">
        <v>6</v>
      </c>
      <c r="I9" s="480">
        <v>7</v>
      </c>
      <c r="J9" s="479">
        <v>8</v>
      </c>
      <c r="K9" s="480">
        <v>9</v>
      </c>
    </row>
    <row r="10" spans="1:15" s="488" customFormat="1" ht="15" customHeight="1" x14ac:dyDescent="0.2">
      <c r="A10" s="482">
        <v>2014</v>
      </c>
      <c r="B10" s="483" t="s">
        <v>778</v>
      </c>
      <c r="C10" s="484">
        <v>7573.0586675413833</v>
      </c>
      <c r="D10" s="485">
        <v>635.35298021535527</v>
      </c>
      <c r="E10" s="483">
        <v>8208.4116477567386</v>
      </c>
      <c r="F10" s="485">
        <v>5.0725034396185498</v>
      </c>
      <c r="G10" s="483">
        <v>1676.0300556511097</v>
      </c>
      <c r="H10" s="486">
        <v>9884.4417034078488</v>
      </c>
      <c r="I10" s="485">
        <v>6.108229788030636</v>
      </c>
      <c r="J10" s="487">
        <v>713.38584773743059</v>
      </c>
      <c r="K10" s="487">
        <v>1310.9878558561704</v>
      </c>
    </row>
    <row r="11" spans="1:15" s="488" customFormat="1" ht="15" customHeight="1" x14ac:dyDescent="0.2">
      <c r="A11" s="489">
        <v>2015</v>
      </c>
      <c r="B11" s="490" t="s">
        <v>778</v>
      </c>
      <c r="C11" s="491">
        <v>6833.7736652079902</v>
      </c>
      <c r="D11" s="491">
        <v>469.86408873452666</v>
      </c>
      <c r="E11" s="490">
        <v>7303.6377539425184</v>
      </c>
      <c r="F11" s="491">
        <v>4.62875748984938</v>
      </c>
      <c r="G11" s="490">
        <v>2033.2624121092058</v>
      </c>
      <c r="H11" s="492">
        <v>9336.9001660517242</v>
      </c>
      <c r="I11" s="491">
        <v>5.9173589972008864</v>
      </c>
      <c r="J11" s="493">
        <v>-904.77389381422017</v>
      </c>
      <c r="K11" s="493">
        <v>-547.54153735612454</v>
      </c>
    </row>
    <row r="12" spans="1:15" s="488" customFormat="1" ht="15" customHeight="1" x14ac:dyDescent="0.2">
      <c r="A12" s="482">
        <v>2016</v>
      </c>
      <c r="B12" s="483" t="s">
        <v>778</v>
      </c>
      <c r="C12" s="485">
        <v>5729.9662096117481</v>
      </c>
      <c r="D12" s="485">
        <v>289.06940139726299</v>
      </c>
      <c r="E12" s="483">
        <v>6019.0356110090115</v>
      </c>
      <c r="F12" s="485">
        <v>3.7652620463364181</v>
      </c>
      <c r="G12" s="483">
        <v>2413.8938901557403</v>
      </c>
      <c r="H12" s="486">
        <v>8432.9295011647519</v>
      </c>
      <c r="I12" s="485">
        <v>5.2752951539430271</v>
      </c>
      <c r="J12" s="487">
        <v>-1284.6021429335069</v>
      </c>
      <c r="K12" s="487">
        <v>-903.97066488697237</v>
      </c>
      <c r="L12" s="494"/>
      <c r="M12" s="494"/>
      <c r="N12" s="494"/>
      <c r="O12" s="494"/>
    </row>
    <row r="13" spans="1:15" s="488" customFormat="1" ht="15" customHeight="1" x14ac:dyDescent="0.2">
      <c r="A13" s="489">
        <v>2017</v>
      </c>
      <c r="B13" s="490" t="s">
        <v>778</v>
      </c>
      <c r="C13" s="491">
        <v>7470.4853086657504</v>
      </c>
      <c r="D13" s="491">
        <v>488.16734457393557</v>
      </c>
      <c r="E13" s="490">
        <v>7958.6526532396856</v>
      </c>
      <c r="F13" s="491">
        <v>4.5521813209865645</v>
      </c>
      <c r="G13" s="490">
        <v>2477.8417644249516</v>
      </c>
      <c r="H13" s="492">
        <v>10436.494417664637</v>
      </c>
      <c r="I13" s="491">
        <v>5.9694545062642437</v>
      </c>
      <c r="J13" s="493">
        <v>1939.6170422306741</v>
      </c>
      <c r="K13" s="493">
        <v>2003.5649164998849</v>
      </c>
      <c r="L13" s="494"/>
      <c r="M13" s="494"/>
      <c r="N13" s="494"/>
      <c r="O13" s="494"/>
    </row>
    <row r="14" spans="1:15" s="488" customFormat="1" ht="15" customHeight="1" x14ac:dyDescent="0.2">
      <c r="A14" s="482">
        <v>2018</v>
      </c>
      <c r="B14" s="483" t="s">
        <v>778</v>
      </c>
      <c r="C14" s="485">
        <v>6102.1310218298404</v>
      </c>
      <c r="D14" s="485">
        <v>817.08575413748508</v>
      </c>
      <c r="E14" s="483">
        <v>6919.2167759673257</v>
      </c>
      <c r="F14" s="485">
        <v>3.7345458219164338</v>
      </c>
      <c r="G14" s="483">
        <v>2663.6363495965784</v>
      </c>
      <c r="H14" s="486">
        <v>9582.8531255639045</v>
      </c>
      <c r="I14" s="485">
        <v>5.1722044937825071</v>
      </c>
      <c r="J14" s="487">
        <v>-1039.4358772723599</v>
      </c>
      <c r="K14" s="487">
        <v>-853.64129210073224</v>
      </c>
      <c r="L14" s="494"/>
      <c r="M14" s="494"/>
      <c r="N14" s="494"/>
      <c r="O14" s="494"/>
    </row>
    <row r="15" spans="1:15" s="488" customFormat="1" ht="15" customHeight="1" x14ac:dyDescent="0.2">
      <c r="A15" s="489">
        <v>2019</v>
      </c>
      <c r="B15" s="490" t="s">
        <v>778</v>
      </c>
      <c r="C15" s="491">
        <v>7256.0228608532962</v>
      </c>
      <c r="D15" s="491">
        <v>386.37013990513896</v>
      </c>
      <c r="E15" s="490">
        <v>7642.3930007584349</v>
      </c>
      <c r="F15" s="491">
        <v>4.599907137714319</v>
      </c>
      <c r="G15" s="490">
        <v>2759.5012578871947</v>
      </c>
      <c r="H15" s="492">
        <v>10401.894258645629</v>
      </c>
      <c r="I15" s="491">
        <v>6.2608331763814276</v>
      </c>
      <c r="J15" s="493">
        <v>723.17622479110923</v>
      </c>
      <c r="K15" s="493">
        <v>819.04113308172418</v>
      </c>
      <c r="L15" s="494"/>
      <c r="M15" s="494"/>
      <c r="N15" s="494"/>
      <c r="O15" s="494"/>
    </row>
    <row r="16" spans="1:15" s="488" customFormat="1" ht="15" customHeight="1" x14ac:dyDescent="0.2">
      <c r="A16" s="482">
        <v>2020</v>
      </c>
      <c r="B16" s="483" t="s">
        <v>778</v>
      </c>
      <c r="C16" s="485">
        <v>5509.6401344602291</v>
      </c>
      <c r="D16" s="485">
        <v>154.62543489588975</v>
      </c>
      <c r="E16" s="483">
        <v>5664.2655693561192</v>
      </c>
      <c r="F16" s="485">
        <v>4.2335466716069776</v>
      </c>
      <c r="G16" s="483">
        <v>2856.479450502467</v>
      </c>
      <c r="H16" s="486">
        <v>8520.7450198585866</v>
      </c>
      <c r="I16" s="485">
        <v>6.3685170260360193</v>
      </c>
      <c r="J16" s="487">
        <v>-1978.1274314023158</v>
      </c>
      <c r="K16" s="487">
        <v>-1881.1492387870421</v>
      </c>
      <c r="L16" s="494"/>
      <c r="M16" s="494"/>
      <c r="N16" s="494"/>
      <c r="O16" s="494"/>
    </row>
    <row r="17" spans="1:15" s="488" customFormat="1" ht="15" customHeight="1" x14ac:dyDescent="0.2">
      <c r="A17" s="489">
        <v>2021</v>
      </c>
      <c r="B17" s="490" t="s">
        <v>778</v>
      </c>
      <c r="C17" s="491">
        <v>2962.4695964893081</v>
      </c>
      <c r="D17" s="491">
        <v>176.75686393053468</v>
      </c>
      <c r="E17" s="490">
        <v>3139.2264604198426</v>
      </c>
      <c r="F17" s="491">
        <v>1.825360966316169</v>
      </c>
      <c r="G17" s="490">
        <v>2983.1674478094747</v>
      </c>
      <c r="H17" s="492">
        <v>6122.3939082293173</v>
      </c>
      <c r="I17" s="491">
        <v>3.5599785493013023</v>
      </c>
      <c r="J17" s="493">
        <v>-2525.0391089362765</v>
      </c>
      <c r="K17" s="493">
        <v>-2398.3511116292693</v>
      </c>
      <c r="L17" s="494"/>
      <c r="M17" s="494"/>
      <c r="N17" s="494"/>
      <c r="O17" s="494"/>
    </row>
    <row r="18" spans="1:15" s="488" customFormat="1" ht="15" customHeight="1" x14ac:dyDescent="0.2">
      <c r="A18" s="482">
        <v>2022</v>
      </c>
      <c r="B18" s="483" t="s">
        <v>778</v>
      </c>
      <c r="C18" s="485">
        <f>+C152</f>
        <v>1858.453413786234</v>
      </c>
      <c r="D18" s="485">
        <f>+D152</f>
        <v>39.155946163146155</v>
      </c>
      <c r="E18" s="483">
        <f t="shared" ref="E18:G18" si="0">+E152</f>
        <v>1897.6093599493802</v>
      </c>
      <c r="F18" s="485">
        <f t="shared" si="0"/>
        <v>1.2449468506967936</v>
      </c>
      <c r="G18" s="483">
        <f t="shared" si="0"/>
        <v>3975.9086786803368</v>
      </c>
      <c r="H18" s="486">
        <v>5873.5206177032487</v>
      </c>
      <c r="I18" s="485">
        <v>3.8533805806878716</v>
      </c>
      <c r="J18" s="487">
        <v>-1241.614521396931</v>
      </c>
      <c r="K18" s="487">
        <v>-248.87329052606856</v>
      </c>
      <c r="L18" s="494"/>
      <c r="M18" s="494"/>
      <c r="N18" s="494"/>
      <c r="O18" s="494"/>
    </row>
    <row r="19" spans="1:15" s="488" customFormat="1" ht="15" customHeight="1" x14ac:dyDescent="0.2">
      <c r="A19" s="489">
        <v>2023</v>
      </c>
      <c r="B19" s="490" t="s">
        <v>778</v>
      </c>
      <c r="C19" s="491">
        <f t="shared" ref="C19:G19" si="1">+C164</f>
        <v>3516.6426024169609</v>
      </c>
      <c r="D19" s="491">
        <f t="shared" si="1"/>
        <v>875.49985551249335</v>
      </c>
      <c r="E19" s="490">
        <f t="shared" si="1"/>
        <v>4392.1424579294544</v>
      </c>
      <c r="F19" s="491">
        <f t="shared" si="1"/>
        <v>3.135167429297586</v>
      </c>
      <c r="G19" s="490">
        <f t="shared" si="1"/>
        <v>4980.9905522995332</v>
      </c>
      <c r="H19" s="492">
        <v>9373.1330102289867</v>
      </c>
      <c r="I19" s="491">
        <v>6.6906621553430385</v>
      </c>
      <c r="J19" s="493">
        <v>2494.530518906543</v>
      </c>
      <c r="K19" s="493">
        <v>3499.612392525738</v>
      </c>
      <c r="L19" s="494"/>
      <c r="M19" s="494"/>
      <c r="N19" s="494"/>
      <c r="O19" s="494"/>
    </row>
    <row r="20" spans="1:15" s="488" customFormat="1" ht="15" customHeight="1" x14ac:dyDescent="0.2">
      <c r="A20" s="482">
        <v>2024</v>
      </c>
      <c r="B20" s="483" t="s">
        <v>778</v>
      </c>
      <c r="C20" s="485">
        <f>+C176</f>
        <v>5754.0900513009383</v>
      </c>
      <c r="D20" s="485">
        <f t="shared" ref="D20:G20" si="2">+D176</f>
        <v>367.88896994828474</v>
      </c>
      <c r="E20" s="483">
        <f t="shared" si="2"/>
        <v>6121.9790212492226</v>
      </c>
      <c r="F20" s="485">
        <v>3.8077489609545894</v>
      </c>
      <c r="G20" s="483">
        <f t="shared" si="2"/>
        <v>5108.0124582341505</v>
      </c>
      <c r="H20" s="486">
        <v>11229.991479483373</v>
      </c>
      <c r="I20" s="485">
        <v>7.1523236557585843</v>
      </c>
      <c r="J20" s="487">
        <v>1729.8365633197682</v>
      </c>
      <c r="K20" s="487">
        <v>1856.8584692543864</v>
      </c>
      <c r="L20" s="494"/>
      <c r="M20" s="494"/>
      <c r="N20" s="494"/>
      <c r="O20" s="494"/>
    </row>
    <row r="21" spans="1:15" s="488" customFormat="1" ht="15" customHeight="1" x14ac:dyDescent="0.2">
      <c r="A21" s="489">
        <v>2025</v>
      </c>
      <c r="B21" s="490"/>
      <c r="C21" s="491">
        <v>6306.8583148528978</v>
      </c>
      <c r="D21" s="491">
        <v>531.21690804840352</v>
      </c>
      <c r="E21" s="490">
        <v>6838.0752229013015</v>
      </c>
      <c r="F21" s="491">
        <v>3.8201643813749908</v>
      </c>
      <c r="G21" s="490">
        <v>5467.4637025802049</v>
      </c>
      <c r="H21" s="492">
        <v>12305.538925481505</v>
      </c>
      <c r="I21" s="491">
        <v>6.874621873025049</v>
      </c>
      <c r="J21" s="493">
        <f>+E21-E20</f>
        <v>716.09620165207889</v>
      </c>
      <c r="K21" s="493">
        <f>H21-H20</f>
        <v>1075.5474459981324</v>
      </c>
      <c r="L21" s="494"/>
      <c r="M21" s="494"/>
      <c r="N21" s="494"/>
      <c r="O21" s="494"/>
    </row>
    <row r="22" spans="1:15" s="488" customFormat="1" ht="15" customHeight="1" x14ac:dyDescent="0.2">
      <c r="A22" s="495"/>
      <c r="B22" s="490"/>
      <c r="C22" s="491"/>
      <c r="D22" s="491"/>
      <c r="E22" s="490"/>
      <c r="F22" s="491"/>
      <c r="G22" s="490"/>
      <c r="H22" s="492"/>
      <c r="I22" s="491"/>
      <c r="J22" s="496"/>
      <c r="K22" s="493"/>
      <c r="L22" s="494"/>
      <c r="M22" s="494"/>
      <c r="N22" s="494"/>
      <c r="O22" s="494"/>
    </row>
    <row r="23" spans="1:15" s="488" customFormat="1" ht="15" customHeight="1" x14ac:dyDescent="0.2">
      <c r="A23" s="497" t="s">
        <v>779</v>
      </c>
      <c r="B23" s="483" t="s">
        <v>780</v>
      </c>
      <c r="C23" s="485">
        <v>6222.771425222043</v>
      </c>
      <c r="D23" s="485">
        <v>596.77408136960116</v>
      </c>
      <c r="E23" s="483">
        <v>6819.545506591644</v>
      </c>
      <c r="F23" s="485">
        <v>4.195907009501803</v>
      </c>
      <c r="G23" s="483">
        <v>1767.3972032580884</v>
      </c>
      <c r="H23" s="486">
        <v>8586.9427098497326</v>
      </c>
      <c r="I23" s="485">
        <v>5.283345212906486</v>
      </c>
      <c r="J23" s="498">
        <v>-1388.8661411650946</v>
      </c>
      <c r="K23" s="487">
        <v>-1297.4989935581161</v>
      </c>
      <c r="L23" s="494"/>
      <c r="M23" s="494"/>
      <c r="N23" s="494"/>
      <c r="O23" s="494"/>
    </row>
    <row r="24" spans="1:15" s="488" customFormat="1" ht="15" customHeight="1" x14ac:dyDescent="0.2">
      <c r="A24" s="497" t="s">
        <v>781</v>
      </c>
      <c r="B24" s="483" t="s">
        <v>780</v>
      </c>
      <c r="C24" s="485">
        <v>6392.0966668696101</v>
      </c>
      <c r="D24" s="485">
        <v>1133.3887140081531</v>
      </c>
      <c r="E24" s="483">
        <v>7525.4853808777634</v>
      </c>
      <c r="F24" s="485">
        <v>4.5205450393610977</v>
      </c>
      <c r="G24" s="483">
        <v>1705.9581929020196</v>
      </c>
      <c r="H24" s="486">
        <v>9231.443573779783</v>
      </c>
      <c r="I24" s="485">
        <v>5.5453109456076852</v>
      </c>
      <c r="J24" s="498">
        <v>705.93987428611945</v>
      </c>
      <c r="K24" s="487">
        <v>644.5008639300504</v>
      </c>
      <c r="L24" s="494"/>
      <c r="M24" s="494"/>
      <c r="N24" s="494"/>
      <c r="O24" s="494"/>
    </row>
    <row r="25" spans="1:15" s="488" customFormat="1" ht="15" customHeight="1" x14ac:dyDescent="0.2">
      <c r="A25" s="497" t="s">
        <v>782</v>
      </c>
      <c r="B25" s="483" t="s">
        <v>780</v>
      </c>
      <c r="C25" s="485">
        <v>6202.3953650007352</v>
      </c>
      <c r="D25" s="485">
        <v>581.28147204827451</v>
      </c>
      <c r="E25" s="483">
        <v>6783.6768370490099</v>
      </c>
      <c r="F25" s="485">
        <v>4.200535657348154</v>
      </c>
      <c r="G25" s="483">
        <v>1655.2652947919582</v>
      </c>
      <c r="H25" s="486">
        <v>8438.9421318409677</v>
      </c>
      <c r="I25" s="485">
        <v>5.2254961706749015</v>
      </c>
      <c r="J25" s="498">
        <v>-741.8085438287535</v>
      </c>
      <c r="K25" s="487">
        <v>-792.50144193881533</v>
      </c>
      <c r="L25" s="494"/>
      <c r="M25" s="494"/>
      <c r="N25" s="494"/>
      <c r="O25" s="494"/>
    </row>
    <row r="26" spans="1:15" s="488" customFormat="1" ht="15" customHeight="1" x14ac:dyDescent="0.2">
      <c r="A26" s="497" t="s">
        <v>783</v>
      </c>
      <c r="B26" s="483" t="s">
        <v>780</v>
      </c>
      <c r="C26" s="485">
        <v>6833.7736652079921</v>
      </c>
      <c r="D26" s="485">
        <v>469.86408873452666</v>
      </c>
      <c r="E26" s="483">
        <v>7303.6377539425184</v>
      </c>
      <c r="F26" s="485">
        <v>4.62875748984938</v>
      </c>
      <c r="G26" s="483">
        <v>2033.2624121092058</v>
      </c>
      <c r="H26" s="486">
        <v>9336.9001660517242</v>
      </c>
      <c r="I26" s="485">
        <v>5.9173589972008864</v>
      </c>
      <c r="J26" s="498">
        <v>519.96091689350851</v>
      </c>
      <c r="K26" s="487">
        <v>897.95803421075652</v>
      </c>
      <c r="L26" s="494"/>
      <c r="M26" s="494"/>
      <c r="N26" s="494"/>
      <c r="O26" s="494"/>
    </row>
    <row r="27" spans="1:15" s="488" customFormat="1" ht="15" customHeight="1" x14ac:dyDescent="0.2">
      <c r="A27" s="495" t="s">
        <v>784</v>
      </c>
      <c r="B27" s="490" t="s">
        <v>780</v>
      </c>
      <c r="C27" s="491">
        <v>5773.2476765740603</v>
      </c>
      <c r="D27" s="491">
        <v>447.9386783164698</v>
      </c>
      <c r="E27" s="490">
        <v>6221.1863548905303</v>
      </c>
      <c r="F27" s="491">
        <v>3.9843282530889921</v>
      </c>
      <c r="G27" s="490">
        <v>1982.3909420986797</v>
      </c>
      <c r="H27" s="492">
        <v>8203.5772969892096</v>
      </c>
      <c r="I27" s="491">
        <v>5.2539407978188875</v>
      </c>
      <c r="J27" s="496">
        <v>-1082.4513990519881</v>
      </c>
      <c r="K27" s="493">
        <v>-1133.3228690625147</v>
      </c>
      <c r="L27" s="494"/>
      <c r="M27" s="494"/>
      <c r="N27" s="494"/>
      <c r="O27" s="494"/>
    </row>
    <row r="28" spans="1:15" s="488" customFormat="1" ht="15" customHeight="1" x14ac:dyDescent="0.2">
      <c r="A28" s="495" t="s">
        <v>785</v>
      </c>
      <c r="B28" s="490" t="s">
        <v>780</v>
      </c>
      <c r="C28" s="491">
        <v>4859.1847533505616</v>
      </c>
      <c r="D28" s="491">
        <v>433.0890409626162</v>
      </c>
      <c r="E28" s="490">
        <v>5292.2737943131779</v>
      </c>
      <c r="F28" s="491">
        <v>3.3945046114845292</v>
      </c>
      <c r="G28" s="490">
        <v>2003.2554320831669</v>
      </c>
      <c r="H28" s="492">
        <v>7295.5292263963447</v>
      </c>
      <c r="I28" s="491">
        <v>4.6794078622374959</v>
      </c>
      <c r="J28" s="496">
        <v>-928.91256057735245</v>
      </c>
      <c r="K28" s="493">
        <v>-908.04807059286486</v>
      </c>
      <c r="L28" s="494"/>
      <c r="M28" s="494"/>
      <c r="N28" s="494"/>
      <c r="O28" s="494"/>
    </row>
    <row r="29" spans="1:15" s="488" customFormat="1" ht="15" customHeight="1" x14ac:dyDescent="0.2">
      <c r="A29" s="495" t="s">
        <v>786</v>
      </c>
      <c r="B29" s="490" t="s">
        <v>780</v>
      </c>
      <c r="C29" s="491">
        <v>5142.9529177056984</v>
      </c>
      <c r="D29" s="491">
        <v>1312.7655822125926</v>
      </c>
      <c r="E29" s="490">
        <v>6455.7184999182909</v>
      </c>
      <c r="F29" s="491">
        <v>4.1721369324216226</v>
      </c>
      <c r="G29" s="490">
        <v>2618.3670553410248</v>
      </c>
      <c r="H29" s="492">
        <v>9074.0855552593166</v>
      </c>
      <c r="I29" s="491">
        <v>5.8643089028014668</v>
      </c>
      <c r="J29" s="496">
        <v>1163.4447056051131</v>
      </c>
      <c r="K29" s="493">
        <v>1778.5563288629719</v>
      </c>
      <c r="L29" s="494"/>
      <c r="M29" s="494"/>
      <c r="N29" s="494"/>
      <c r="O29" s="494"/>
    </row>
    <row r="30" spans="1:15" s="488" customFormat="1" ht="15" customHeight="1" x14ac:dyDescent="0.2">
      <c r="A30" s="495" t="s">
        <v>787</v>
      </c>
      <c r="B30" s="490" t="s">
        <v>780</v>
      </c>
      <c r="C30" s="491">
        <v>5729.9662096117481</v>
      </c>
      <c r="D30" s="491">
        <v>289.06940139726299</v>
      </c>
      <c r="E30" s="490">
        <v>6019.0356110090115</v>
      </c>
      <c r="F30" s="491">
        <v>3.7652620463364181</v>
      </c>
      <c r="G30" s="490">
        <v>2413.8938901557403</v>
      </c>
      <c r="H30" s="492">
        <v>8432.9295011647519</v>
      </c>
      <c r="I30" s="491">
        <v>5.2752951539430271</v>
      </c>
      <c r="J30" s="496">
        <v>-436.68288890927943</v>
      </c>
      <c r="K30" s="493">
        <v>-641.15605409456475</v>
      </c>
      <c r="L30" s="494"/>
      <c r="M30" s="494"/>
      <c r="N30" s="494"/>
      <c r="O30" s="494"/>
    </row>
    <row r="31" spans="1:15" s="488" customFormat="1" ht="15" customHeight="1" x14ac:dyDescent="0.2">
      <c r="A31" s="497" t="s">
        <v>788</v>
      </c>
      <c r="B31" s="483" t="s">
        <v>780</v>
      </c>
      <c r="C31" s="485">
        <v>4846.8766580880647</v>
      </c>
      <c r="D31" s="485">
        <v>270.38249668521655</v>
      </c>
      <c r="E31" s="483">
        <v>5117.2591547732809</v>
      </c>
      <c r="F31" s="485">
        <v>3.0907851915528219</v>
      </c>
      <c r="G31" s="483">
        <v>1962.3979279589705</v>
      </c>
      <c r="H31" s="486">
        <v>7079.6570827322512</v>
      </c>
      <c r="I31" s="485">
        <v>4.2760584544892684</v>
      </c>
      <c r="J31" s="498">
        <v>-901.77645623573062</v>
      </c>
      <c r="K31" s="487">
        <v>-1353.2724184325007</v>
      </c>
      <c r="L31" s="494"/>
      <c r="M31" s="494"/>
      <c r="N31" s="494"/>
      <c r="O31" s="494"/>
    </row>
    <row r="32" spans="1:15" s="488" customFormat="1" ht="15" customHeight="1" x14ac:dyDescent="0.2">
      <c r="A32" s="497" t="s">
        <v>789</v>
      </c>
      <c r="B32" s="483" t="s">
        <v>780</v>
      </c>
      <c r="C32" s="485">
        <v>5322.4293878578428</v>
      </c>
      <c r="D32" s="485">
        <v>1636.5764328084815</v>
      </c>
      <c r="E32" s="483">
        <v>6959.0058206663243</v>
      </c>
      <c r="F32" s="485">
        <v>4.1731424936505173</v>
      </c>
      <c r="G32" s="483">
        <v>2133.7841597236988</v>
      </c>
      <c r="H32" s="486">
        <v>9092.7899803900236</v>
      </c>
      <c r="I32" s="485">
        <v>5.4527197175662057</v>
      </c>
      <c r="J32" s="498">
        <v>1841.7466658930434</v>
      </c>
      <c r="K32" s="487">
        <v>2013.1328976577724</v>
      </c>
      <c r="L32" s="494"/>
      <c r="M32" s="494"/>
      <c r="N32" s="494"/>
      <c r="O32" s="494"/>
    </row>
    <row r="33" spans="1:15" s="488" customFormat="1" ht="15" customHeight="1" x14ac:dyDescent="0.2">
      <c r="A33" s="497" t="s">
        <v>790</v>
      </c>
      <c r="B33" s="483" t="s">
        <v>780</v>
      </c>
      <c r="C33" s="485">
        <v>6362.7339449440906</v>
      </c>
      <c r="D33" s="485">
        <v>917.10164591572868</v>
      </c>
      <c r="E33" s="483">
        <v>7279.8355908598196</v>
      </c>
      <c r="F33" s="485">
        <v>4.2540271133041747</v>
      </c>
      <c r="G33" s="483">
        <v>2327.996121647886</v>
      </c>
      <c r="H33" s="486">
        <v>9607.8317125077047</v>
      </c>
      <c r="I33" s="485">
        <v>5.6144092946807982</v>
      </c>
      <c r="J33" s="498">
        <v>320.82977019349528</v>
      </c>
      <c r="K33" s="487">
        <v>515.04173211768102</v>
      </c>
      <c r="L33" s="494"/>
      <c r="M33" s="494"/>
      <c r="N33" s="494"/>
      <c r="O33" s="494"/>
    </row>
    <row r="34" spans="1:15" s="488" customFormat="1" ht="15" customHeight="1" x14ac:dyDescent="0.2">
      <c r="A34" s="497" t="s">
        <v>791</v>
      </c>
      <c r="B34" s="483" t="s">
        <v>780</v>
      </c>
      <c r="C34" s="485">
        <v>7470.4853086657504</v>
      </c>
      <c r="D34" s="485">
        <v>488.16734457393557</v>
      </c>
      <c r="E34" s="483">
        <v>7958.6526532396856</v>
      </c>
      <c r="F34" s="485">
        <v>4.5521813209865645</v>
      </c>
      <c r="G34" s="483">
        <v>2477.8417644249516</v>
      </c>
      <c r="H34" s="486">
        <v>10436.494417664637</v>
      </c>
      <c r="I34" s="485">
        <v>5.9694545062642437</v>
      </c>
      <c r="J34" s="498">
        <v>678.817062379866</v>
      </c>
      <c r="K34" s="487">
        <v>828.66270515693213</v>
      </c>
      <c r="L34" s="494"/>
      <c r="M34" s="494"/>
      <c r="N34" s="494"/>
      <c r="O34" s="494"/>
    </row>
    <row r="35" spans="1:15" s="488" customFormat="1" ht="15" customHeight="1" x14ac:dyDescent="0.2">
      <c r="A35" s="495" t="s">
        <v>792</v>
      </c>
      <c r="B35" s="490" t="s">
        <v>780</v>
      </c>
      <c r="C35" s="491">
        <v>7124.5918791113845</v>
      </c>
      <c r="D35" s="491">
        <v>195.15783073843147</v>
      </c>
      <c r="E35" s="490">
        <v>7319.7497098498161</v>
      </c>
      <c r="F35" s="491">
        <v>3.9214644871030524</v>
      </c>
      <c r="G35" s="490">
        <v>2256.222672228248</v>
      </c>
      <c r="H35" s="492">
        <v>9575.9723820780637</v>
      </c>
      <c r="I35" s="491">
        <v>5.1302076046763112</v>
      </c>
      <c r="J35" s="496">
        <v>-638.90294338986951</v>
      </c>
      <c r="K35" s="493">
        <v>-860.52203558657311</v>
      </c>
      <c r="L35" s="494"/>
      <c r="M35" s="494"/>
      <c r="N35" s="494"/>
      <c r="O35" s="494"/>
    </row>
    <row r="36" spans="1:15" s="488" customFormat="1" ht="15" customHeight="1" x14ac:dyDescent="0.2">
      <c r="A36" s="495" t="s">
        <v>793</v>
      </c>
      <c r="B36" s="490" t="s">
        <v>780</v>
      </c>
      <c r="C36" s="491">
        <v>7277.5631291737363</v>
      </c>
      <c r="D36" s="491">
        <v>1989.4546610523141</v>
      </c>
      <c r="E36" s="490">
        <v>9267.0177902260511</v>
      </c>
      <c r="F36" s="491">
        <v>4.8668317404773749</v>
      </c>
      <c r="G36" s="490">
        <v>2051.2094136904857</v>
      </c>
      <c r="H36" s="492">
        <v>11318.227203916536</v>
      </c>
      <c r="I36" s="491">
        <v>5.9440813267945414</v>
      </c>
      <c r="J36" s="496">
        <v>1947.268080376235</v>
      </c>
      <c r="K36" s="493">
        <v>1742.2548218384727</v>
      </c>
      <c r="L36" s="494"/>
      <c r="M36" s="494"/>
      <c r="N36" s="494"/>
      <c r="O36" s="494"/>
    </row>
    <row r="37" spans="1:15" s="488" customFormat="1" ht="15" customHeight="1" x14ac:dyDescent="0.2">
      <c r="A37" s="495" t="s">
        <v>794</v>
      </c>
      <c r="B37" s="490" t="s">
        <v>780</v>
      </c>
      <c r="C37" s="491">
        <v>6572.380278874648</v>
      </c>
      <c r="D37" s="491">
        <v>591.69906313482215</v>
      </c>
      <c r="E37" s="490">
        <v>7164.0793420094706</v>
      </c>
      <c r="F37" s="491">
        <v>3.7262958327214779</v>
      </c>
      <c r="G37" s="490">
        <v>2472.8023349012483</v>
      </c>
      <c r="H37" s="492">
        <v>9636.8816769107179</v>
      </c>
      <c r="I37" s="491">
        <v>5.0124894377607392</v>
      </c>
      <c r="J37" s="496">
        <v>-2102.9384482165806</v>
      </c>
      <c r="K37" s="493">
        <v>-1681.3455270058184</v>
      </c>
      <c r="L37" s="494"/>
      <c r="M37" s="494"/>
      <c r="N37" s="494"/>
      <c r="O37" s="494"/>
    </row>
    <row r="38" spans="1:15" s="488" customFormat="1" ht="15" customHeight="1" x14ac:dyDescent="0.2">
      <c r="A38" s="495" t="s">
        <v>795</v>
      </c>
      <c r="B38" s="490" t="s">
        <v>780</v>
      </c>
      <c r="C38" s="491">
        <v>6102.1310218298404</v>
      </c>
      <c r="D38" s="491">
        <v>817.08575413748508</v>
      </c>
      <c r="E38" s="490">
        <v>6919.2167759673257</v>
      </c>
      <c r="F38" s="491">
        <v>3.7345458219164338</v>
      </c>
      <c r="G38" s="490">
        <v>2663.6363495965784</v>
      </c>
      <c r="H38" s="492">
        <v>9582.8531255639045</v>
      </c>
      <c r="I38" s="491">
        <v>5.1722044937825071</v>
      </c>
      <c r="J38" s="496">
        <v>-244.86256604214486</v>
      </c>
      <c r="K38" s="493">
        <v>-54.028551346813401</v>
      </c>
      <c r="L38" s="494"/>
      <c r="M38" s="494"/>
      <c r="N38" s="494"/>
      <c r="O38" s="494"/>
    </row>
    <row r="39" spans="1:15" s="488" customFormat="1" ht="15" customHeight="1" x14ac:dyDescent="0.2">
      <c r="A39" s="497" t="s">
        <v>796</v>
      </c>
      <c r="B39" s="483" t="s">
        <v>780</v>
      </c>
      <c r="C39" s="485">
        <v>5705.4432821048094</v>
      </c>
      <c r="D39" s="485">
        <v>1923.7986588974049</v>
      </c>
      <c r="E39" s="483">
        <v>7629.2419410022139</v>
      </c>
      <c r="F39" s="485">
        <v>4.3432254098668501</v>
      </c>
      <c r="G39" s="483">
        <v>2879.7545936917732</v>
      </c>
      <c r="H39" s="486">
        <v>10508.996534693986</v>
      </c>
      <c r="I39" s="485">
        <v>5.9826311886092469</v>
      </c>
      <c r="J39" s="498">
        <v>710.02516503488823</v>
      </c>
      <c r="K39" s="487">
        <v>926.14340913008164</v>
      </c>
      <c r="L39" s="494"/>
      <c r="M39" s="494"/>
      <c r="N39" s="494"/>
      <c r="O39" s="494"/>
    </row>
    <row r="40" spans="1:15" s="488" customFormat="1" ht="15" customHeight="1" x14ac:dyDescent="0.2">
      <c r="A40" s="497" t="s">
        <v>797</v>
      </c>
      <c r="B40" s="483" t="s">
        <v>780</v>
      </c>
      <c r="C40" s="485">
        <v>6673.9178181198913</v>
      </c>
      <c r="D40" s="485">
        <v>2191.0667049967601</v>
      </c>
      <c r="E40" s="483">
        <v>8864.984523116651</v>
      </c>
      <c r="F40" s="485">
        <v>5.2177510790688979</v>
      </c>
      <c r="G40" s="483">
        <v>2636.9926104642277</v>
      </c>
      <c r="H40" s="486">
        <v>11501.977133580878</v>
      </c>
      <c r="I40" s="485">
        <v>6.7698317401086925</v>
      </c>
      <c r="J40" s="498">
        <v>1235.742582114437</v>
      </c>
      <c r="K40" s="487">
        <v>992.98059888689204</v>
      </c>
      <c r="L40" s="494"/>
      <c r="M40" s="494"/>
      <c r="N40" s="494"/>
      <c r="O40" s="494"/>
    </row>
    <row r="41" spans="1:15" s="488" customFormat="1" ht="15" customHeight="1" x14ac:dyDescent="0.2">
      <c r="A41" s="497" t="s">
        <v>798</v>
      </c>
      <c r="B41" s="483" t="s">
        <v>780</v>
      </c>
      <c r="C41" s="485">
        <v>6585.9635342600668</v>
      </c>
      <c r="D41" s="485">
        <v>1049.3684293210692</v>
      </c>
      <c r="E41" s="483">
        <v>7635.3319635811358</v>
      </c>
      <c r="F41" s="485">
        <v>4.5862144957570026</v>
      </c>
      <c r="G41" s="483">
        <v>2726.8729807505997</v>
      </c>
      <c r="H41" s="486">
        <v>10362.204944331736</v>
      </c>
      <c r="I41" s="485">
        <v>6.2241294485131515</v>
      </c>
      <c r="J41" s="498">
        <v>-1229.6525595355151</v>
      </c>
      <c r="K41" s="487">
        <v>-1139.7721892491427</v>
      </c>
      <c r="L41" s="494"/>
      <c r="M41" s="494"/>
      <c r="N41" s="494"/>
      <c r="O41" s="494"/>
    </row>
    <row r="42" spans="1:15" s="488" customFormat="1" ht="15" customHeight="1" x14ac:dyDescent="0.2">
      <c r="A42" s="497" t="s">
        <v>799</v>
      </c>
      <c r="B42" s="483" t="s">
        <v>780</v>
      </c>
      <c r="C42" s="485">
        <v>7256.0228608532962</v>
      </c>
      <c r="D42" s="485">
        <v>386.37013990513896</v>
      </c>
      <c r="E42" s="483">
        <v>7642.3930007584349</v>
      </c>
      <c r="F42" s="485">
        <v>4.599907137714319</v>
      </c>
      <c r="G42" s="483">
        <v>2759.5012578871947</v>
      </c>
      <c r="H42" s="486">
        <v>10401.894258645629</v>
      </c>
      <c r="I42" s="485">
        <v>6.2608331763814276</v>
      </c>
      <c r="J42" s="498">
        <v>7.061037177299113</v>
      </c>
      <c r="K42" s="487">
        <v>39.689314313893192</v>
      </c>
      <c r="L42" s="494"/>
      <c r="M42" s="494"/>
      <c r="N42" s="494"/>
      <c r="O42" s="494"/>
    </row>
    <row r="43" spans="1:15" s="488" customFormat="1" ht="15" customHeight="1" x14ac:dyDescent="0.2">
      <c r="A43" s="495" t="s">
        <v>800</v>
      </c>
      <c r="B43" s="490" t="s">
        <v>780</v>
      </c>
      <c r="C43" s="491">
        <v>7062.9940015786615</v>
      </c>
      <c r="D43" s="491">
        <v>470.74256781549116</v>
      </c>
      <c r="E43" s="490">
        <v>7533.7365693941529</v>
      </c>
      <c r="F43" s="491">
        <v>4.6071134284530633</v>
      </c>
      <c r="G43" s="490">
        <v>3151.94030060963</v>
      </c>
      <c r="H43" s="492">
        <v>10685.676870003783</v>
      </c>
      <c r="I43" s="491">
        <v>6.5346226200558153</v>
      </c>
      <c r="J43" s="496">
        <v>-108.65643136428207</v>
      </c>
      <c r="K43" s="493">
        <v>283.7826113581541</v>
      </c>
      <c r="L43" s="494"/>
      <c r="M43" s="494"/>
      <c r="N43" s="494"/>
      <c r="O43" s="494"/>
    </row>
    <row r="44" spans="1:15" s="488" customFormat="1" ht="15" customHeight="1" x14ac:dyDescent="0.2">
      <c r="A44" s="495" t="s">
        <v>801</v>
      </c>
      <c r="B44" s="490" t="s">
        <v>780</v>
      </c>
      <c r="C44" s="491">
        <v>6556.5400741848762</v>
      </c>
      <c r="D44" s="491">
        <v>138.1080531945581</v>
      </c>
      <c r="E44" s="490">
        <v>6694.6481273794343</v>
      </c>
      <c r="F44" s="491">
        <v>4.4592215439009228</v>
      </c>
      <c r="G44" s="490">
        <v>2817.8937568700512</v>
      </c>
      <c r="H44" s="492">
        <v>9512.5418842494855</v>
      </c>
      <c r="I44" s="491">
        <v>6.3361853977095546</v>
      </c>
      <c r="J44" s="496">
        <v>-839.08844201471857</v>
      </c>
      <c r="K44" s="493">
        <v>-1173.1349857542973</v>
      </c>
      <c r="L44" s="494"/>
      <c r="M44" s="494"/>
      <c r="N44" s="494"/>
      <c r="O44" s="494"/>
    </row>
    <row r="45" spans="1:15" s="488" customFormat="1" ht="15" customHeight="1" x14ac:dyDescent="0.2">
      <c r="A45" s="495" t="s">
        <v>802</v>
      </c>
      <c r="B45" s="490" t="s">
        <v>780</v>
      </c>
      <c r="C45" s="491">
        <v>6533.9956747199603</v>
      </c>
      <c r="D45" s="491">
        <v>132.32526346775376</v>
      </c>
      <c r="E45" s="490">
        <v>6666.3209381877141</v>
      </c>
      <c r="F45" s="491">
        <v>4.6717666455377485</v>
      </c>
      <c r="G45" s="490">
        <v>2542.5905599705038</v>
      </c>
      <c r="H45" s="492">
        <v>9208.911498158217</v>
      </c>
      <c r="I45" s="491">
        <v>6.4536175167258625</v>
      </c>
      <c r="J45" s="496">
        <v>-28.327189191720208</v>
      </c>
      <c r="K45" s="493">
        <v>-303.63038609126852</v>
      </c>
      <c r="L45" s="494"/>
      <c r="M45" s="494"/>
      <c r="N45" s="494"/>
      <c r="O45" s="494"/>
    </row>
    <row r="46" spans="1:15" s="488" customFormat="1" ht="15" customHeight="1" x14ac:dyDescent="0.2">
      <c r="A46" s="495" t="s">
        <v>803</v>
      </c>
      <c r="B46" s="490" t="s">
        <v>780</v>
      </c>
      <c r="C46" s="491">
        <v>5509.6401344602291</v>
      </c>
      <c r="D46" s="491">
        <v>154.62543489588975</v>
      </c>
      <c r="E46" s="490">
        <v>5664.2655693561192</v>
      </c>
      <c r="F46" s="491">
        <v>4.2335466716069776</v>
      </c>
      <c r="G46" s="490">
        <v>2856.479450502467</v>
      </c>
      <c r="H46" s="492">
        <v>8520.7450198585866</v>
      </c>
      <c r="I46" s="491">
        <v>6.3685170260360193</v>
      </c>
      <c r="J46" s="496">
        <v>-1002.0553688315949</v>
      </c>
      <c r="K46" s="493">
        <v>-688.1664782996304</v>
      </c>
      <c r="L46" s="494"/>
      <c r="M46" s="494"/>
      <c r="N46" s="494"/>
      <c r="O46" s="494"/>
    </row>
    <row r="47" spans="1:15" s="488" customFormat="1" ht="15" customHeight="1" x14ac:dyDescent="0.2">
      <c r="A47" s="497" t="s">
        <v>804</v>
      </c>
      <c r="B47" s="483" t="s">
        <v>780</v>
      </c>
      <c r="C47" s="485">
        <f t="shared" ref="C47:D47" si="3">+C131</f>
        <v>3887.3394259587203</v>
      </c>
      <c r="D47" s="485">
        <f t="shared" si="3"/>
        <v>167.82425143206538</v>
      </c>
      <c r="E47" s="483">
        <v>4055.1636773907858</v>
      </c>
      <c r="F47" s="485">
        <v>2.932538441930741</v>
      </c>
      <c r="G47" s="483">
        <v>2457.1977719269585</v>
      </c>
      <c r="H47" s="486">
        <v>6512.3614493177447</v>
      </c>
      <c r="I47" s="485">
        <v>4.7094893861744556</v>
      </c>
      <c r="J47" s="498">
        <v>-1609.1018919653334</v>
      </c>
      <c r="K47" s="487">
        <v>-2008.3835705408419</v>
      </c>
      <c r="L47" s="494"/>
      <c r="M47" s="494"/>
      <c r="N47" s="494"/>
      <c r="O47" s="494"/>
    </row>
    <row r="48" spans="1:15" s="488" customFormat="1" ht="15" customHeight="1" x14ac:dyDescent="0.2">
      <c r="A48" s="497" t="s">
        <v>805</v>
      </c>
      <c r="B48" s="483" t="s">
        <v>780</v>
      </c>
      <c r="C48" s="485">
        <f>+C134</f>
        <v>3866.8955718691877</v>
      </c>
      <c r="D48" s="485">
        <f t="shared" ref="D48" si="4">+D134</f>
        <v>193.15033621293031</v>
      </c>
      <c r="E48" s="483">
        <v>4060.0459080821179</v>
      </c>
      <c r="F48" s="485">
        <v>2.6485005858299653</v>
      </c>
      <c r="G48" s="483">
        <v>2763.6740865409533</v>
      </c>
      <c r="H48" s="486">
        <v>6823.7199946230712</v>
      </c>
      <c r="I48" s="485">
        <v>4.4513354805478027</v>
      </c>
      <c r="J48" s="498">
        <v>4.8822306913320972</v>
      </c>
      <c r="K48" s="487">
        <v>311.35854530532652</v>
      </c>
      <c r="L48" s="494"/>
      <c r="M48" s="494"/>
      <c r="N48" s="494"/>
      <c r="O48" s="494"/>
    </row>
    <row r="49" spans="1:15" s="488" customFormat="1" ht="15" customHeight="1" x14ac:dyDescent="0.2">
      <c r="A49" s="497" t="s">
        <v>806</v>
      </c>
      <c r="B49" s="483" t="s">
        <v>780</v>
      </c>
      <c r="C49" s="485">
        <v>2279.6433675157323</v>
      </c>
      <c r="D49" s="485">
        <v>424.54393147320025</v>
      </c>
      <c r="E49" s="483">
        <v>2704.1872989889325</v>
      </c>
      <c r="F49" s="485">
        <v>1.689180067627676</v>
      </c>
      <c r="G49" s="483">
        <v>3440.9086736151635</v>
      </c>
      <c r="H49" s="486">
        <v>6145.0959726040965</v>
      </c>
      <c r="I49" s="485">
        <v>3.8385557222545148</v>
      </c>
      <c r="J49" s="498">
        <v>-1355.8586090931854</v>
      </c>
      <c r="K49" s="487">
        <v>-678.62402201897476</v>
      </c>
      <c r="L49" s="494"/>
      <c r="M49" s="494"/>
      <c r="N49" s="494"/>
      <c r="O49" s="494"/>
    </row>
    <row r="50" spans="1:15" s="488" customFormat="1" ht="15" customHeight="1" x14ac:dyDescent="0.2">
      <c r="A50" s="497" t="s">
        <v>807</v>
      </c>
      <c r="B50" s="483" t="s">
        <v>780</v>
      </c>
      <c r="C50" s="485">
        <v>2962.4695964893081</v>
      </c>
      <c r="D50" s="485">
        <v>176.75686393053468</v>
      </c>
      <c r="E50" s="483">
        <v>3139.2264604198426</v>
      </c>
      <c r="F50" s="485">
        <v>1.825360966316169</v>
      </c>
      <c r="G50" s="483">
        <v>2983.1674478094747</v>
      </c>
      <c r="H50" s="486">
        <v>6122.3939082293173</v>
      </c>
      <c r="I50" s="485">
        <v>3.5599785493013023</v>
      </c>
      <c r="J50" s="498">
        <v>435.0391614309101</v>
      </c>
      <c r="K50" s="487">
        <v>-22.702064374779184</v>
      </c>
      <c r="L50" s="494"/>
      <c r="M50" s="494"/>
      <c r="N50" s="494"/>
      <c r="O50" s="494"/>
    </row>
    <row r="51" spans="1:15" s="488" customFormat="1" ht="15" customHeight="1" x14ac:dyDescent="0.2">
      <c r="A51" s="495" t="s">
        <v>808</v>
      </c>
      <c r="B51" s="490" t="s">
        <v>780</v>
      </c>
      <c r="C51" s="491">
        <f>+C143</f>
        <v>1891.6050867525835</v>
      </c>
      <c r="D51" s="491">
        <f t="shared" ref="D51" si="5">+D143</f>
        <v>24.932356287357859</v>
      </c>
      <c r="E51" s="490">
        <v>1916.5374430399413</v>
      </c>
      <c r="F51" s="491">
        <v>1.0824059643283734</v>
      </c>
      <c r="G51" s="490">
        <v>3441.0625232810071</v>
      </c>
      <c r="H51" s="492">
        <v>5357.5999663209486</v>
      </c>
      <c r="I51" s="491">
        <v>3.0258204341851891</v>
      </c>
      <c r="J51" s="496">
        <v>-1222.6890173799013</v>
      </c>
      <c r="K51" s="493">
        <v>-764.79394190836865</v>
      </c>
      <c r="L51" s="494"/>
      <c r="M51" s="494"/>
      <c r="N51" s="494"/>
      <c r="O51" s="494"/>
    </row>
    <row r="52" spans="1:15" s="488" customFormat="1" ht="15" customHeight="1" x14ac:dyDescent="0.2">
      <c r="A52" s="495" t="s">
        <v>809</v>
      </c>
      <c r="B52" s="490" t="s">
        <v>780</v>
      </c>
      <c r="C52" s="491">
        <f t="shared" ref="C52:D52" si="6">+C146</f>
        <v>1850.2362436224998</v>
      </c>
      <c r="D52" s="491">
        <f t="shared" si="6"/>
        <v>3.869044988387738</v>
      </c>
      <c r="E52" s="490">
        <v>1854.1052886108876</v>
      </c>
      <c r="F52" s="491">
        <v>1.0774633767536721</v>
      </c>
      <c r="G52" s="490">
        <v>3666.6446587256596</v>
      </c>
      <c r="H52" s="492">
        <v>5520.7499473365469</v>
      </c>
      <c r="I52" s="491">
        <v>3.208115829956856</v>
      </c>
      <c r="J52" s="496">
        <v>-62.432154429053753</v>
      </c>
      <c r="K52" s="493">
        <v>163.14998101559831</v>
      </c>
      <c r="L52" s="494"/>
      <c r="M52" s="494"/>
      <c r="N52" s="494"/>
      <c r="O52" s="494"/>
    </row>
    <row r="53" spans="1:15" s="488" customFormat="1" ht="15" customHeight="1" x14ac:dyDescent="0.2">
      <c r="A53" s="495" t="s">
        <v>810</v>
      </c>
      <c r="B53" s="490" t="s">
        <v>780</v>
      </c>
      <c r="C53" s="491">
        <f>+C149</f>
        <v>1751.3212191267432</v>
      </c>
      <c r="D53" s="491">
        <f t="shared" ref="D53" si="7">+D149</f>
        <v>27.196850556131167</v>
      </c>
      <c r="E53" s="490">
        <v>1778.5180696828745</v>
      </c>
      <c r="F53" s="491">
        <v>1.0787322130171086</v>
      </c>
      <c r="G53" s="490">
        <v>4203.0518082616509</v>
      </c>
      <c r="H53" s="492">
        <v>5981.5698779445256</v>
      </c>
      <c r="I53" s="491">
        <v>3.6279535747240761</v>
      </c>
      <c r="J53" s="496">
        <v>-75.587218928013044</v>
      </c>
      <c r="K53" s="493">
        <v>460.81993060797868</v>
      </c>
      <c r="L53" s="494"/>
      <c r="M53" s="494"/>
      <c r="N53" s="494"/>
      <c r="O53" s="494"/>
    </row>
    <row r="54" spans="1:15" s="488" customFormat="1" ht="15" customHeight="1" x14ac:dyDescent="0.2">
      <c r="A54" s="495" t="s">
        <v>811</v>
      </c>
      <c r="B54" s="490" t="s">
        <v>780</v>
      </c>
      <c r="C54" s="491">
        <f t="shared" ref="C54:D54" si="8">+C152</f>
        <v>1858.453413786234</v>
      </c>
      <c r="D54" s="491">
        <f t="shared" si="8"/>
        <v>39.155946163146155</v>
      </c>
      <c r="E54" s="490">
        <v>1897.6093599493802</v>
      </c>
      <c r="F54" s="491">
        <v>1.2449468506967936</v>
      </c>
      <c r="G54" s="490">
        <v>3975.9086786803368</v>
      </c>
      <c r="H54" s="492">
        <v>5873.518038629717</v>
      </c>
      <c r="I54" s="491">
        <v>3.8533805806878716</v>
      </c>
      <c r="J54" s="496">
        <v>119.09129026650567</v>
      </c>
      <c r="K54" s="493">
        <v>-108.0518393148086</v>
      </c>
      <c r="L54" s="494"/>
      <c r="M54" s="494"/>
      <c r="N54" s="494"/>
      <c r="O54" s="494"/>
    </row>
    <row r="55" spans="1:15" s="488" customFormat="1" ht="15" customHeight="1" x14ac:dyDescent="0.2">
      <c r="A55" s="497" t="s">
        <v>812</v>
      </c>
      <c r="B55" s="483" t="s">
        <v>780</v>
      </c>
      <c r="C55" s="485">
        <f t="shared" ref="C55:D55" si="9">C155</f>
        <v>2462.2797974535929</v>
      </c>
      <c r="D55" s="485">
        <f t="shared" si="9"/>
        <v>231.98748421150083</v>
      </c>
      <c r="E55" s="483">
        <v>2694.2672816650938</v>
      </c>
      <c r="F55" s="485">
        <v>1.9554700258183237</v>
      </c>
      <c r="G55" s="483">
        <v>4135.0003152433601</v>
      </c>
      <c r="H55" s="486">
        <v>6829.2675969084539</v>
      </c>
      <c r="I55" s="485">
        <v>4.9566084905257055</v>
      </c>
      <c r="J55" s="498">
        <v>796.65792171571366</v>
      </c>
      <c r="K55" s="487">
        <v>955.74955827873691</v>
      </c>
      <c r="L55" s="494"/>
      <c r="M55" s="494"/>
      <c r="N55" s="494"/>
      <c r="O55" s="494"/>
    </row>
    <row r="56" spans="1:15" s="488" customFormat="1" ht="15" customHeight="1" x14ac:dyDescent="0.2">
      <c r="A56" s="497" t="s">
        <v>813</v>
      </c>
      <c r="B56" s="483" t="s">
        <v>780</v>
      </c>
      <c r="C56" s="485">
        <f>C158</f>
        <v>3108.6040119900081</v>
      </c>
      <c r="D56" s="485">
        <f t="shared" ref="D56" si="10">D158</f>
        <v>615.59422042962149</v>
      </c>
      <c r="E56" s="483">
        <v>3724.1982324196297</v>
      </c>
      <c r="F56" s="485">
        <v>2.7211448451588014</v>
      </c>
      <c r="G56" s="483">
        <v>4321.2712547802603</v>
      </c>
      <c r="H56" s="486">
        <v>8045.46948719989</v>
      </c>
      <c r="I56" s="485">
        <v>5.8785506183306717</v>
      </c>
      <c r="J56" s="498">
        <v>1029.9309507545358</v>
      </c>
      <c r="K56" s="487">
        <v>1216.201890291436</v>
      </c>
      <c r="L56" s="494"/>
      <c r="M56" s="494"/>
      <c r="N56" s="494"/>
      <c r="O56" s="494"/>
    </row>
    <row r="57" spans="1:15" s="488" customFormat="1" ht="15" customHeight="1" x14ac:dyDescent="0.2">
      <c r="A57" s="497" t="s">
        <v>814</v>
      </c>
      <c r="B57" s="483" t="s">
        <v>780</v>
      </c>
      <c r="C57" s="485">
        <f t="shared" ref="C57:D57" si="11">+C161</f>
        <v>3106.0376868726521</v>
      </c>
      <c r="D57" s="485">
        <f t="shared" si="11"/>
        <v>433.91229829722994</v>
      </c>
      <c r="E57" s="483">
        <v>3539.949985169882</v>
      </c>
      <c r="F57" s="485">
        <v>2.5699678508865107</v>
      </c>
      <c r="G57" s="483">
        <v>5169.589129811473</v>
      </c>
      <c r="H57" s="486">
        <v>8709.5391149813549</v>
      </c>
      <c r="I57" s="485">
        <v>6.3230372223652935</v>
      </c>
      <c r="J57" s="498">
        <v>-184.24824724974769</v>
      </c>
      <c r="K57" s="487">
        <v>664.06962778146499</v>
      </c>
      <c r="L57" s="494"/>
      <c r="M57" s="494"/>
      <c r="N57" s="494"/>
      <c r="O57" s="494"/>
    </row>
    <row r="58" spans="1:15" s="488" customFormat="1" ht="15" customHeight="1" x14ac:dyDescent="0.2">
      <c r="A58" s="497" t="s">
        <v>815</v>
      </c>
      <c r="B58" s="483" t="s">
        <v>780</v>
      </c>
      <c r="C58" s="485">
        <f t="shared" ref="C58:D58" si="12">+C164</f>
        <v>3516.6426024169609</v>
      </c>
      <c r="D58" s="485">
        <f t="shared" si="12"/>
        <v>875.49985551249335</v>
      </c>
      <c r="E58" s="483">
        <v>4392.1424579294544</v>
      </c>
      <c r="F58" s="485">
        <v>3.135167429297586</v>
      </c>
      <c r="G58" s="483">
        <v>4980.9905522995332</v>
      </c>
      <c r="H58" s="486">
        <v>9373.1330102289867</v>
      </c>
      <c r="I58" s="485">
        <v>6.6906621553430385</v>
      </c>
      <c r="J58" s="498">
        <v>852.19247275957241</v>
      </c>
      <c r="K58" s="487">
        <v>663.59389524763174</v>
      </c>
      <c r="L58" s="494"/>
      <c r="M58" s="494"/>
      <c r="N58" s="494"/>
      <c r="O58" s="494"/>
    </row>
    <row r="59" spans="1:15" s="488" customFormat="1" ht="15" customHeight="1" x14ac:dyDescent="0.2">
      <c r="A59" s="495" t="s">
        <v>816</v>
      </c>
      <c r="B59" s="490" t="s">
        <v>780</v>
      </c>
      <c r="C59" s="491">
        <f>+C167</f>
        <v>4262.7997821450845</v>
      </c>
      <c r="D59" s="491">
        <f t="shared" ref="D59" si="13">+D167</f>
        <v>697.04622552106912</v>
      </c>
      <c r="E59" s="490">
        <v>4959.846007666154</v>
      </c>
      <c r="F59" s="491">
        <v>3.4373589134241485</v>
      </c>
      <c r="G59" s="490">
        <v>4954.5377039806681</v>
      </c>
      <c r="H59" s="492">
        <v>9914.3837116468221</v>
      </c>
      <c r="I59" s="491">
        <v>6.8710389737225626</v>
      </c>
      <c r="J59" s="496">
        <v>567.70354973669964</v>
      </c>
      <c r="K59" s="493">
        <v>541.25070141783544</v>
      </c>
      <c r="L59" s="494"/>
      <c r="M59" s="494"/>
      <c r="N59" s="494"/>
      <c r="O59" s="494"/>
    </row>
    <row r="60" spans="1:15" s="488" customFormat="1" ht="15" customHeight="1" x14ac:dyDescent="0.2">
      <c r="A60" s="495" t="s">
        <v>817</v>
      </c>
      <c r="B60" s="490" t="s">
        <v>780</v>
      </c>
      <c r="C60" s="491">
        <f t="shared" ref="C60:D60" si="14">+C170</f>
        <v>4861.5081054840239</v>
      </c>
      <c r="D60" s="491">
        <f t="shared" si="14"/>
        <v>792.97898725715686</v>
      </c>
      <c r="E60" s="490">
        <v>5654.4870927411812</v>
      </c>
      <c r="F60" s="491">
        <v>3.914269248918568</v>
      </c>
      <c r="G60" s="490">
        <v>5112.5687181045214</v>
      </c>
      <c r="H60" s="492">
        <v>10767.055810845703</v>
      </c>
      <c r="I60" s="491">
        <v>7.4534002413563183</v>
      </c>
      <c r="J60" s="496">
        <v>694.64108507502715</v>
      </c>
      <c r="K60" s="493">
        <v>852.67209919888046</v>
      </c>
      <c r="L60" s="494"/>
      <c r="M60" s="494"/>
      <c r="N60" s="494"/>
      <c r="O60" s="494"/>
    </row>
    <row r="61" spans="1:15" s="488" customFormat="1" ht="15" customHeight="1" x14ac:dyDescent="0.2">
      <c r="A61" s="495" t="s">
        <v>818</v>
      </c>
      <c r="B61" s="490" t="s">
        <v>780</v>
      </c>
      <c r="C61" s="491">
        <f>+C173</f>
        <v>5316.4545165348318</v>
      </c>
      <c r="D61" s="491">
        <f t="shared" ref="D61" si="15">+D173</f>
        <v>677.4372068422432</v>
      </c>
      <c r="E61" s="490">
        <v>5993.8917233770753</v>
      </c>
      <c r="F61" s="491">
        <v>3.9507084048618686</v>
      </c>
      <c r="G61" s="490">
        <v>5260.1688464593899</v>
      </c>
      <c r="H61" s="492">
        <v>11254.060569836465</v>
      </c>
      <c r="I61" s="491">
        <v>7.4178036130801166</v>
      </c>
      <c r="J61" s="496">
        <v>339.40463063589414</v>
      </c>
      <c r="K61" s="493">
        <v>487.00475899076264</v>
      </c>
      <c r="L61" s="494"/>
      <c r="M61" s="494"/>
      <c r="N61" s="494"/>
      <c r="O61" s="494"/>
    </row>
    <row r="62" spans="1:15" s="488" customFormat="1" ht="15" customHeight="1" x14ac:dyDescent="0.2">
      <c r="A62" s="495" t="s">
        <v>819</v>
      </c>
      <c r="B62" s="490" t="s">
        <v>780</v>
      </c>
      <c r="C62" s="491">
        <f>+C176</f>
        <v>5754.0900513009383</v>
      </c>
      <c r="D62" s="491">
        <f t="shared" ref="D62" si="16">+D176</f>
        <v>367.88896994828474</v>
      </c>
      <c r="E62" s="490">
        <v>6121.9790212492226</v>
      </c>
      <c r="F62" s="491">
        <v>3.8990568651573865</v>
      </c>
      <c r="G62" s="490">
        <v>5108.0124582341505</v>
      </c>
      <c r="H62" s="492">
        <v>11229.991479483373</v>
      </c>
      <c r="I62" s="491">
        <v>7.1523236557585843</v>
      </c>
      <c r="J62" s="496">
        <v>128.08729787214725</v>
      </c>
      <c r="K62" s="493">
        <v>-24.069090353092179</v>
      </c>
      <c r="L62" s="494"/>
      <c r="M62" s="494"/>
      <c r="N62" s="494"/>
      <c r="O62" s="494"/>
    </row>
    <row r="63" spans="1:15" s="488" customFormat="1" ht="15" customHeight="1" x14ac:dyDescent="0.2">
      <c r="A63" s="497" t="s">
        <v>820</v>
      </c>
      <c r="B63" s="483" t="s">
        <v>780</v>
      </c>
      <c r="C63" s="485">
        <f t="shared" ref="C63:D63" si="17">+C179</f>
        <v>6193.6380980428003</v>
      </c>
      <c r="D63" s="485">
        <f t="shared" si="17"/>
        <v>336.92094951286873</v>
      </c>
      <c r="E63" s="483">
        <v>6530.5590475556692</v>
      </c>
      <c r="F63" s="485">
        <v>4.0540354916315149</v>
      </c>
      <c r="G63" s="483">
        <v>5823.9685896875035</v>
      </c>
      <c r="H63" s="486">
        <v>12354.527637243173</v>
      </c>
      <c r="I63" s="485">
        <v>7.6694342948285419</v>
      </c>
      <c r="J63" s="498">
        <v>408.5800263064466</v>
      </c>
      <c r="K63" s="487">
        <v>1124.5361577597996</v>
      </c>
      <c r="L63" s="494"/>
      <c r="M63" s="494"/>
      <c r="N63" s="494"/>
      <c r="O63" s="494"/>
    </row>
    <row r="64" spans="1:15" s="488" customFormat="1" ht="15" customHeight="1" x14ac:dyDescent="0.2">
      <c r="A64" s="497" t="s">
        <v>821</v>
      </c>
      <c r="B64" s="483" t="s">
        <v>780</v>
      </c>
      <c r="C64" s="485">
        <f>+C182</f>
        <v>5906.7540847917253</v>
      </c>
      <c r="D64" s="485">
        <f t="shared" ref="D64" si="18">+D182</f>
        <v>174.61599689889636</v>
      </c>
      <c r="E64" s="483">
        <v>6081.3700816906221</v>
      </c>
      <c r="F64" s="485">
        <v>3.663617515442243</v>
      </c>
      <c r="G64" s="483">
        <v>5670.4216741637119</v>
      </c>
      <c r="H64" s="486">
        <v>11751.791755854334</v>
      </c>
      <c r="I64" s="485">
        <v>7.0796661831520451</v>
      </c>
      <c r="J64" s="498">
        <v>-449.18896586504701</v>
      </c>
      <c r="K64" s="487">
        <v>-602.73588138883861</v>
      </c>
      <c r="L64" s="494"/>
      <c r="M64" s="494"/>
      <c r="N64" s="494"/>
      <c r="O64" s="494"/>
    </row>
    <row r="65" spans="1:15" s="488" customFormat="1" ht="15" customHeight="1" x14ac:dyDescent="0.2">
      <c r="A65" s="497" t="s">
        <v>822</v>
      </c>
      <c r="B65" s="483"/>
      <c r="C65" s="485">
        <v>6110.954205331399</v>
      </c>
      <c r="D65" s="485">
        <v>132.66281224534441</v>
      </c>
      <c r="E65" s="483">
        <v>6243.6170175767438</v>
      </c>
      <c r="F65" s="485">
        <v>3.6525474173542589</v>
      </c>
      <c r="G65" s="483">
        <v>5418.1086180486445</v>
      </c>
      <c r="H65" s="486">
        <v>11661.725635625389</v>
      </c>
      <c r="I65" s="485">
        <v>6.8221682611835357</v>
      </c>
      <c r="J65" s="498">
        <f>+E65-E64</f>
        <v>162.24693588612172</v>
      </c>
      <c r="K65" s="487">
        <f>+H65-H64</f>
        <v>-90.066120228944783</v>
      </c>
      <c r="L65" s="494"/>
      <c r="M65" s="494"/>
      <c r="N65" s="494"/>
      <c r="O65" s="494"/>
    </row>
    <row r="66" spans="1:15" s="488" customFormat="1" ht="15" customHeight="1" x14ac:dyDescent="0.2">
      <c r="A66" s="497" t="s">
        <v>823</v>
      </c>
      <c r="B66" s="483"/>
      <c r="C66" s="485">
        <v>6306.8583148528978</v>
      </c>
      <c r="D66" s="485">
        <v>531.21690804840352</v>
      </c>
      <c r="E66" s="483">
        <v>6838.0752229013015</v>
      </c>
      <c r="F66" s="485">
        <v>3.8201643813749908</v>
      </c>
      <c r="G66" s="483">
        <v>5467.4637025802049</v>
      </c>
      <c r="H66" s="486">
        <v>12305.538925481505</v>
      </c>
      <c r="I66" s="485">
        <v>6.874621873025049</v>
      </c>
      <c r="J66" s="498">
        <f>+E66-E65</f>
        <v>594.45820532455764</v>
      </c>
      <c r="K66" s="487">
        <f>+H66-H65</f>
        <v>643.81328985611617</v>
      </c>
      <c r="L66" s="494"/>
      <c r="M66" s="494"/>
      <c r="N66" s="494"/>
      <c r="O66" s="494"/>
    </row>
    <row r="67" spans="1:15" s="505" customFormat="1" ht="15" customHeight="1" x14ac:dyDescent="0.2">
      <c r="A67" s="499" t="s">
        <v>824</v>
      </c>
      <c r="B67" s="500"/>
      <c r="C67" s="501">
        <f>+C191</f>
        <v>6885.5097160450396</v>
      </c>
      <c r="D67" s="501">
        <f t="shared" ref="D67:I67" si="19">+D191</f>
        <v>140.6996514259136</v>
      </c>
      <c r="E67" s="501">
        <f t="shared" si="19"/>
        <v>7026.2093674709531</v>
      </c>
      <c r="F67" s="501">
        <f t="shared" si="19"/>
        <v>3.770088523458532</v>
      </c>
      <c r="G67" s="501">
        <f>+G191</f>
        <v>5873.6240317095953</v>
      </c>
      <c r="H67" s="501">
        <f t="shared" si="19"/>
        <v>12899.833399180548</v>
      </c>
      <c r="I67" s="501">
        <f t="shared" si="19"/>
        <v>6.9217285323057522</v>
      </c>
      <c r="J67" s="502">
        <f>+E67-E66</f>
        <v>188.13414456965165</v>
      </c>
      <c r="K67" s="503">
        <f>+H67-H66</f>
        <v>594.29447369904301</v>
      </c>
      <c r="L67" s="504"/>
      <c r="M67" s="504"/>
      <c r="N67" s="504"/>
      <c r="O67" s="504"/>
    </row>
    <row r="68" spans="1:15" s="488" customFormat="1" ht="15" customHeight="1" x14ac:dyDescent="0.2">
      <c r="A68" s="506"/>
      <c r="B68" s="490"/>
      <c r="C68" s="491"/>
      <c r="D68" s="491"/>
      <c r="E68" s="491"/>
      <c r="F68" s="491"/>
      <c r="G68" s="491"/>
      <c r="H68" s="491"/>
      <c r="I68" s="491"/>
      <c r="J68" s="493"/>
      <c r="K68" s="493"/>
      <c r="L68" s="494"/>
      <c r="M68" s="494"/>
      <c r="N68" s="494"/>
      <c r="O68" s="494"/>
    </row>
    <row r="69" spans="1:15" s="488" customFormat="1" ht="15" customHeight="1" x14ac:dyDescent="0.2">
      <c r="A69" s="507">
        <v>42370</v>
      </c>
      <c r="B69" s="483" t="s">
        <v>825</v>
      </c>
      <c r="C69" s="485">
        <v>5846.2448503387459</v>
      </c>
      <c r="D69" s="485">
        <v>448.06593821546289</v>
      </c>
      <c r="E69" s="485">
        <v>6294.3107885542086</v>
      </c>
      <c r="F69" s="485">
        <v>4.008671586699613</v>
      </c>
      <c r="G69" s="485">
        <v>2098.9725132850845</v>
      </c>
      <c r="H69" s="485">
        <v>8393.2833018392921</v>
      </c>
      <c r="I69" s="485">
        <v>5.3454488380819027</v>
      </c>
      <c r="J69" s="487">
        <v>-1009.3269653883099</v>
      </c>
      <c r="K69" s="487">
        <v>-943.61686421243212</v>
      </c>
      <c r="L69" s="494"/>
      <c r="M69" s="494"/>
      <c r="N69" s="494"/>
      <c r="O69" s="494"/>
    </row>
    <row r="70" spans="1:15" s="488" customFormat="1" ht="15" customHeight="1" x14ac:dyDescent="0.2">
      <c r="A70" s="507">
        <v>42401</v>
      </c>
      <c r="B70" s="483" t="s">
        <v>825</v>
      </c>
      <c r="C70" s="485">
        <v>5885.8204983025043</v>
      </c>
      <c r="D70" s="485">
        <v>687.54858906931304</v>
      </c>
      <c r="E70" s="485">
        <v>6573.3690873718169</v>
      </c>
      <c r="F70" s="485">
        <v>4.20653703220332</v>
      </c>
      <c r="G70" s="485">
        <v>1928.5863552738228</v>
      </c>
      <c r="H70" s="485">
        <v>8501.9554426456398</v>
      </c>
      <c r="I70" s="485">
        <v>5.4407093136360967</v>
      </c>
      <c r="J70" s="487">
        <v>279.05829881760837</v>
      </c>
      <c r="K70" s="487">
        <v>108.67214080634767</v>
      </c>
      <c r="L70" s="494"/>
      <c r="M70" s="494"/>
      <c r="N70" s="494"/>
      <c r="O70" s="494"/>
    </row>
    <row r="71" spans="1:15" s="488" customFormat="1" ht="15" customHeight="1" x14ac:dyDescent="0.2">
      <c r="A71" s="507">
        <v>42430</v>
      </c>
      <c r="B71" s="483" t="s">
        <v>825</v>
      </c>
      <c r="C71" s="485">
        <v>5773.2476765740603</v>
      </c>
      <c r="D71" s="485">
        <v>447.9386783164698</v>
      </c>
      <c r="E71" s="485">
        <v>6221.1863548905303</v>
      </c>
      <c r="F71" s="485">
        <v>3.9843282530889921</v>
      </c>
      <c r="G71" s="485">
        <v>1982.3909420986797</v>
      </c>
      <c r="H71" s="485">
        <v>8203.5772969892096</v>
      </c>
      <c r="I71" s="485">
        <v>5.2539407978188875</v>
      </c>
      <c r="J71" s="487">
        <v>-352.18273248128662</v>
      </c>
      <c r="K71" s="487">
        <v>-298.37814565643021</v>
      </c>
      <c r="L71" s="494"/>
      <c r="M71" s="494"/>
      <c r="N71" s="494"/>
      <c r="O71" s="494"/>
    </row>
    <row r="72" spans="1:15" s="488" customFormat="1" ht="15" customHeight="1" x14ac:dyDescent="0.2">
      <c r="A72" s="507">
        <v>42461</v>
      </c>
      <c r="B72" s="483" t="s">
        <v>825</v>
      </c>
      <c r="C72" s="485">
        <v>5619.2352740728702</v>
      </c>
      <c r="D72" s="485">
        <v>449.28998354864484</v>
      </c>
      <c r="E72" s="485">
        <v>6068.5252576215153</v>
      </c>
      <c r="F72" s="485">
        <v>3.8926984946645562</v>
      </c>
      <c r="G72" s="485">
        <v>2215.9653769882343</v>
      </c>
      <c r="H72" s="485">
        <v>8284.4906346097487</v>
      </c>
      <c r="I72" s="485">
        <v>5.31414517586561</v>
      </c>
      <c r="J72" s="487">
        <v>-152.66109726901504</v>
      </c>
      <c r="K72" s="487">
        <v>80.913337620539096</v>
      </c>
      <c r="L72" s="494"/>
      <c r="M72" s="494"/>
      <c r="N72" s="494"/>
      <c r="O72" s="494"/>
    </row>
    <row r="73" spans="1:15" s="488" customFormat="1" ht="15" customHeight="1" x14ac:dyDescent="0.2">
      <c r="A73" s="507">
        <v>42491</v>
      </c>
      <c r="B73" s="483" t="s">
        <v>825</v>
      </c>
      <c r="C73" s="485">
        <v>5214.5994133739896</v>
      </c>
      <c r="D73" s="485">
        <v>430.54037580295028</v>
      </c>
      <c r="E73" s="485">
        <v>5645.1397891769402</v>
      </c>
      <c r="F73" s="485">
        <v>3.6202667588205664</v>
      </c>
      <c r="G73" s="485">
        <v>2018.0364654760892</v>
      </c>
      <c r="H73" s="485">
        <v>7663.1762546530299</v>
      </c>
      <c r="I73" s="485">
        <v>4.9144473472371413</v>
      </c>
      <c r="J73" s="487">
        <v>-423.38546844457505</v>
      </c>
      <c r="K73" s="487">
        <v>-621.31437995671877</v>
      </c>
      <c r="L73" s="494"/>
      <c r="M73" s="494"/>
      <c r="N73" s="494"/>
      <c r="O73" s="494"/>
    </row>
    <row r="74" spans="1:15" s="488" customFormat="1" ht="15" customHeight="1" x14ac:dyDescent="0.2">
      <c r="A74" s="507">
        <v>42522</v>
      </c>
      <c r="B74" s="483" t="s">
        <v>825</v>
      </c>
      <c r="C74" s="485">
        <v>4859.1847533505616</v>
      </c>
      <c r="D74" s="485">
        <v>433.0890409626162</v>
      </c>
      <c r="E74" s="485">
        <v>5292.2737943131779</v>
      </c>
      <c r="F74" s="485">
        <v>3.3945046114845292</v>
      </c>
      <c r="G74" s="485">
        <v>2003.2554320831669</v>
      </c>
      <c r="H74" s="485">
        <v>7295.5292263963447</v>
      </c>
      <c r="I74" s="485">
        <v>4.6794078622374959</v>
      </c>
      <c r="J74" s="487">
        <v>-352.86599486376235</v>
      </c>
      <c r="K74" s="487">
        <v>-367.64702825668519</v>
      </c>
      <c r="L74" s="494"/>
      <c r="M74" s="494"/>
      <c r="N74" s="494"/>
      <c r="O74" s="494"/>
    </row>
    <row r="75" spans="1:15" s="488" customFormat="1" ht="15" customHeight="1" x14ac:dyDescent="0.2">
      <c r="A75" s="507">
        <v>42552</v>
      </c>
      <c r="B75" s="483" t="s">
        <v>825</v>
      </c>
      <c r="C75" s="485">
        <v>4526.4310313809501</v>
      </c>
      <c r="D75" s="485">
        <v>1962.7566723088569</v>
      </c>
      <c r="E75" s="485">
        <v>6489.1877036898068</v>
      </c>
      <c r="F75" s="485">
        <v>4.1848244260195298</v>
      </c>
      <c r="G75" s="485">
        <v>2361.1379559997213</v>
      </c>
      <c r="H75" s="485">
        <v>8850.325659689528</v>
      </c>
      <c r="I75" s="485">
        <v>5.7075031098016424</v>
      </c>
      <c r="J75" s="487">
        <v>1196.9139093766289</v>
      </c>
      <c r="K75" s="487">
        <v>1554.7964332931833</v>
      </c>
      <c r="L75" s="494"/>
      <c r="M75" s="494"/>
      <c r="N75" s="494"/>
      <c r="O75" s="494"/>
    </row>
    <row r="76" spans="1:15" s="488" customFormat="1" ht="15" customHeight="1" x14ac:dyDescent="0.2">
      <c r="A76" s="507">
        <v>42583</v>
      </c>
      <c r="B76" s="483" t="s">
        <v>825</v>
      </c>
      <c r="C76" s="485">
        <v>5347.9978908940911</v>
      </c>
      <c r="D76" s="485">
        <v>1250.9431581704437</v>
      </c>
      <c r="E76" s="485">
        <v>6598.941049064535</v>
      </c>
      <c r="F76" s="485">
        <v>4.2323693192964482</v>
      </c>
      <c r="G76" s="485">
        <v>2641.971025310615</v>
      </c>
      <c r="H76" s="485">
        <v>9240.91207437515</v>
      </c>
      <c r="I76" s="485">
        <v>5.9268528776213039</v>
      </c>
      <c r="J76" s="487">
        <v>109.75334537472827</v>
      </c>
      <c r="K76" s="487">
        <v>390.586414685622</v>
      </c>
      <c r="L76" s="494"/>
      <c r="M76" s="494"/>
      <c r="N76" s="494"/>
      <c r="O76" s="494"/>
    </row>
    <row r="77" spans="1:15" s="488" customFormat="1" ht="15" customHeight="1" x14ac:dyDescent="0.2">
      <c r="A77" s="507">
        <v>42614</v>
      </c>
      <c r="B77" s="483" t="s">
        <v>825</v>
      </c>
      <c r="C77" s="485">
        <v>5142.9529177056984</v>
      </c>
      <c r="D77" s="485">
        <v>1312.7655822125926</v>
      </c>
      <c r="E77" s="485">
        <v>6455.7184999182909</v>
      </c>
      <c r="F77" s="485">
        <v>4.1721369324216226</v>
      </c>
      <c r="G77" s="485">
        <v>2618.3670553410248</v>
      </c>
      <c r="H77" s="485">
        <v>9074.0855552593166</v>
      </c>
      <c r="I77" s="485">
        <v>5.8643089028014668</v>
      </c>
      <c r="J77" s="487">
        <v>-143.22254914624409</v>
      </c>
      <c r="K77" s="487">
        <v>-166.82651911583343</v>
      </c>
      <c r="L77" s="494"/>
      <c r="M77" s="494"/>
      <c r="N77" s="494"/>
      <c r="O77" s="494"/>
    </row>
    <row r="78" spans="1:15" s="488" customFormat="1" ht="15" customHeight="1" x14ac:dyDescent="0.2">
      <c r="A78" s="507">
        <v>42644</v>
      </c>
      <c r="B78" s="483" t="s">
        <v>825</v>
      </c>
      <c r="C78" s="485">
        <v>5142.5902236850425</v>
      </c>
      <c r="D78" s="485">
        <v>911.24837770620809</v>
      </c>
      <c r="E78" s="485">
        <v>6053.8386013912504</v>
      </c>
      <c r="F78" s="485">
        <v>3.8538518637258155</v>
      </c>
      <c r="G78" s="485">
        <v>2415.0767415105647</v>
      </c>
      <c r="H78" s="485">
        <v>8468.9153429018152</v>
      </c>
      <c r="I78" s="485">
        <v>5.391281024650656</v>
      </c>
      <c r="J78" s="487">
        <v>-401.8798985270405</v>
      </c>
      <c r="K78" s="487">
        <v>-605.17021235750144</v>
      </c>
      <c r="L78" s="494"/>
      <c r="M78" s="494"/>
      <c r="N78" s="494"/>
      <c r="O78" s="494"/>
    </row>
    <row r="79" spans="1:15" s="488" customFormat="1" ht="15" customHeight="1" x14ac:dyDescent="0.2">
      <c r="A79" s="507">
        <v>42675</v>
      </c>
      <c r="B79" s="483" t="s">
        <v>825</v>
      </c>
      <c r="C79" s="485">
        <v>5016.751555599034</v>
      </c>
      <c r="D79" s="485">
        <v>627.38154631557961</v>
      </c>
      <c r="E79" s="485">
        <v>5644.1331019146137</v>
      </c>
      <c r="F79" s="485">
        <v>3.562564194799986</v>
      </c>
      <c r="G79" s="485">
        <v>2269.6964956429874</v>
      </c>
      <c r="H79" s="485">
        <v>7913.8295975576011</v>
      </c>
      <c r="I79" s="485">
        <v>4.9951915482721754</v>
      </c>
      <c r="J79" s="487">
        <v>-409.70549947663676</v>
      </c>
      <c r="K79" s="487">
        <v>-555.08574534421405</v>
      </c>
      <c r="L79" s="494"/>
      <c r="M79" s="494"/>
      <c r="N79" s="494"/>
      <c r="O79" s="494"/>
    </row>
    <row r="80" spans="1:15" s="488" customFormat="1" ht="15" customHeight="1" x14ac:dyDescent="0.2">
      <c r="A80" s="507">
        <v>42705</v>
      </c>
      <c r="B80" s="483" t="s">
        <v>825</v>
      </c>
      <c r="C80" s="485">
        <v>5729.9662096117481</v>
      </c>
      <c r="D80" s="485">
        <v>289.06940139726299</v>
      </c>
      <c r="E80" s="485">
        <v>6019.0356110090115</v>
      </c>
      <c r="F80" s="485">
        <v>3.7652620463364181</v>
      </c>
      <c r="G80" s="485">
        <v>2413.8938901557403</v>
      </c>
      <c r="H80" s="485">
        <v>8432.9295011647519</v>
      </c>
      <c r="I80" s="485">
        <v>5.2752951539430271</v>
      </c>
      <c r="J80" s="487">
        <v>374.90250909439783</v>
      </c>
      <c r="K80" s="487">
        <v>519.09990360715074</v>
      </c>
      <c r="L80" s="494"/>
      <c r="M80" s="494"/>
      <c r="N80" s="494"/>
      <c r="O80" s="494"/>
    </row>
    <row r="81" spans="1:17" s="488" customFormat="1" ht="15" customHeight="1" x14ac:dyDescent="0.2">
      <c r="A81" s="508">
        <v>42736</v>
      </c>
      <c r="B81" s="490" t="s">
        <v>825</v>
      </c>
      <c r="C81" s="491">
        <v>5028.6530708218215</v>
      </c>
      <c r="D81" s="491">
        <v>424.51002883484023</v>
      </c>
      <c r="E81" s="491">
        <v>5453.1630996566619</v>
      </c>
      <c r="F81" s="491">
        <v>3.3743675149715293</v>
      </c>
      <c r="G81" s="491">
        <v>2144.1445597567845</v>
      </c>
      <c r="H81" s="491">
        <v>7597.3076594134463</v>
      </c>
      <c r="I81" s="491">
        <v>4.7011445831838765</v>
      </c>
      <c r="J81" s="493">
        <v>-565.87251135234965</v>
      </c>
      <c r="K81" s="493">
        <v>-835.62184175130551</v>
      </c>
      <c r="L81" s="494"/>
      <c r="M81" s="494"/>
      <c r="N81" s="494"/>
      <c r="O81" s="494"/>
    </row>
    <row r="82" spans="1:17" s="488" customFormat="1" ht="15" customHeight="1" x14ac:dyDescent="0.2">
      <c r="A82" s="508">
        <v>42767</v>
      </c>
      <c r="B82" s="490" t="s">
        <v>825</v>
      </c>
      <c r="C82" s="491">
        <v>5277.8564639869874</v>
      </c>
      <c r="D82" s="491">
        <v>356.80221474730581</v>
      </c>
      <c r="E82" s="491">
        <v>5634.6586787342931</v>
      </c>
      <c r="F82" s="491">
        <v>3.4560492683031705</v>
      </c>
      <c r="G82" s="491">
        <v>2119.207142208099</v>
      </c>
      <c r="H82" s="491">
        <v>7753.865820942392</v>
      </c>
      <c r="I82" s="491">
        <v>4.7558767664359154</v>
      </c>
      <c r="J82" s="493">
        <v>181.49557907763119</v>
      </c>
      <c r="K82" s="493">
        <v>156.55816152894567</v>
      </c>
      <c r="L82" s="494"/>
      <c r="M82" s="494"/>
      <c r="N82" s="494"/>
      <c r="O82" s="494"/>
    </row>
    <row r="83" spans="1:17" s="488" customFormat="1" ht="15" customHeight="1" x14ac:dyDescent="0.2">
      <c r="A83" s="508">
        <v>42795</v>
      </c>
      <c r="B83" s="490" t="s">
        <v>825</v>
      </c>
      <c r="C83" s="491">
        <v>4846.8766580880647</v>
      </c>
      <c r="D83" s="491">
        <v>270.38249668521655</v>
      </c>
      <c r="E83" s="491">
        <v>5117.2591547732809</v>
      </c>
      <c r="F83" s="491">
        <v>3.0907851915528219</v>
      </c>
      <c r="G83" s="491">
        <v>1962.3979279589705</v>
      </c>
      <c r="H83" s="491">
        <v>7079.6570827322512</v>
      </c>
      <c r="I83" s="491">
        <v>4.2760584544892684</v>
      </c>
      <c r="J83" s="493">
        <v>-517.39952396101216</v>
      </c>
      <c r="K83" s="493">
        <v>-674.20873821014084</v>
      </c>
      <c r="L83" s="494"/>
      <c r="M83" s="494"/>
      <c r="N83" s="494"/>
      <c r="O83" s="494"/>
    </row>
    <row r="84" spans="1:17" s="488" customFormat="1" ht="15" customHeight="1" x14ac:dyDescent="0.2">
      <c r="A84" s="508">
        <v>42826</v>
      </c>
      <c r="B84" s="490" t="s">
        <v>825</v>
      </c>
      <c r="C84" s="491">
        <v>4787.7301267941784</v>
      </c>
      <c r="D84" s="491">
        <v>260.35176669980245</v>
      </c>
      <c r="E84" s="491">
        <v>5048.0818934939807</v>
      </c>
      <c r="F84" s="491">
        <v>3.0272153396345058</v>
      </c>
      <c r="G84" s="491">
        <v>2486.1827323435878</v>
      </c>
      <c r="H84" s="491">
        <v>7534.264625837568</v>
      </c>
      <c r="I84" s="491">
        <v>4.5181203335064941</v>
      </c>
      <c r="J84" s="493">
        <v>-69.177261279300183</v>
      </c>
      <c r="K84" s="493">
        <v>454.60754310531684</v>
      </c>
      <c r="L84" s="494"/>
      <c r="M84" s="494"/>
      <c r="N84" s="494"/>
      <c r="O84" s="494"/>
    </row>
    <row r="85" spans="1:17" s="488" customFormat="1" ht="15" customHeight="1" x14ac:dyDescent="0.2">
      <c r="A85" s="508">
        <v>42856</v>
      </c>
      <c r="B85" s="490" t="s">
        <v>825</v>
      </c>
      <c r="C85" s="491">
        <v>4767.4822849417405</v>
      </c>
      <c r="D85" s="491">
        <v>1992.2218086102293</v>
      </c>
      <c r="E85" s="491">
        <v>6759.7040935519699</v>
      </c>
      <c r="F85" s="491">
        <v>4.0264881787358675</v>
      </c>
      <c r="G85" s="491">
        <v>2135.1165668426229</v>
      </c>
      <c r="H85" s="491">
        <v>8894.8206603945928</v>
      </c>
      <c r="I85" s="491">
        <v>5.298292609467615</v>
      </c>
      <c r="J85" s="493">
        <v>1711.6222000579892</v>
      </c>
      <c r="K85" s="493">
        <v>1360.5560345570248</v>
      </c>
      <c r="L85" s="494"/>
      <c r="M85" s="494"/>
      <c r="N85" s="494"/>
      <c r="O85" s="494"/>
    </row>
    <row r="86" spans="1:17" s="488" customFormat="1" ht="15" customHeight="1" x14ac:dyDescent="0.2">
      <c r="A86" s="508">
        <v>42887</v>
      </c>
      <c r="B86" s="490" t="s">
        <v>825</v>
      </c>
      <c r="C86" s="491">
        <v>5322.4293878578428</v>
      </c>
      <c r="D86" s="491">
        <v>1636.5764328084815</v>
      </c>
      <c r="E86" s="491">
        <v>6959.0058206663243</v>
      </c>
      <c r="F86" s="491">
        <v>4.1731424936505173</v>
      </c>
      <c r="G86" s="491">
        <v>2133.7841597236988</v>
      </c>
      <c r="H86" s="491">
        <v>9092.7899803900236</v>
      </c>
      <c r="I86" s="491">
        <v>5.4527197175662057</v>
      </c>
      <c r="J86" s="493">
        <v>199.30172711435443</v>
      </c>
      <c r="K86" s="493">
        <v>197.96931999543085</v>
      </c>
      <c r="L86" s="494"/>
      <c r="M86" s="494"/>
      <c r="N86" s="494"/>
      <c r="O86" s="494"/>
    </row>
    <row r="87" spans="1:17" s="488" customFormat="1" ht="15" customHeight="1" x14ac:dyDescent="0.2">
      <c r="A87" s="508">
        <v>42917</v>
      </c>
      <c r="B87" s="490" t="s">
        <v>825</v>
      </c>
      <c r="C87" s="491">
        <v>5684.886891726941</v>
      </c>
      <c r="D87" s="491">
        <v>1025.598804982573</v>
      </c>
      <c r="E87" s="491">
        <v>6710.4856967095138</v>
      </c>
      <c r="F87" s="491">
        <v>3.9925213544869926</v>
      </c>
      <c r="G87" s="491">
        <v>2283.2428294645588</v>
      </c>
      <c r="H87" s="491">
        <v>8993.7285261740726</v>
      </c>
      <c r="I87" s="491">
        <v>5.3509767876885768</v>
      </c>
      <c r="J87" s="493">
        <v>-248.52012395681049</v>
      </c>
      <c r="K87" s="493">
        <v>-99.061454215951017</v>
      </c>
      <c r="L87" s="494"/>
      <c r="M87" s="494"/>
      <c r="N87" s="494"/>
      <c r="O87" s="494"/>
    </row>
    <row r="88" spans="1:17" s="488" customFormat="1" ht="15" customHeight="1" x14ac:dyDescent="0.2">
      <c r="A88" s="508">
        <v>42948</v>
      </c>
      <c r="B88" s="490" t="s">
        <v>825</v>
      </c>
      <c r="C88" s="491">
        <v>6437.3878570126844</v>
      </c>
      <c r="D88" s="491">
        <v>1256.1601502745443</v>
      </c>
      <c r="E88" s="491">
        <v>7693.5480072872288</v>
      </c>
      <c r="F88" s="491">
        <v>4.5307294030523257</v>
      </c>
      <c r="G88" s="491">
        <v>2137.8584128201342</v>
      </c>
      <c r="H88" s="491">
        <v>9831.4064201073634</v>
      </c>
      <c r="I88" s="491">
        <v>5.7897139393615094</v>
      </c>
      <c r="J88" s="493">
        <v>983.06231057771492</v>
      </c>
      <c r="K88" s="493">
        <v>837.67789393329076</v>
      </c>
      <c r="L88" s="494"/>
      <c r="M88" s="494"/>
      <c r="N88" s="494"/>
      <c r="O88" s="494"/>
    </row>
    <row r="89" spans="1:17" s="488" customFormat="1" ht="15" customHeight="1" x14ac:dyDescent="0.2">
      <c r="A89" s="508">
        <v>42979</v>
      </c>
      <c r="B89" s="490" t="s">
        <v>825</v>
      </c>
      <c r="C89" s="491">
        <v>6362.7339449440906</v>
      </c>
      <c r="D89" s="491">
        <v>917.10164591572868</v>
      </c>
      <c r="E89" s="491">
        <v>7279.8355908598196</v>
      </c>
      <c r="F89" s="491">
        <v>4.2540271133041747</v>
      </c>
      <c r="G89" s="491">
        <v>2327.996121647886</v>
      </c>
      <c r="H89" s="491">
        <v>9607.8317125077047</v>
      </c>
      <c r="I89" s="491">
        <v>5.6144092946807982</v>
      </c>
      <c r="J89" s="493">
        <v>-413.71241642740915</v>
      </c>
      <c r="K89" s="493">
        <v>-223.57470759965872</v>
      </c>
      <c r="L89" s="494"/>
      <c r="M89" s="494"/>
      <c r="N89" s="494"/>
      <c r="O89" s="494"/>
    </row>
    <row r="90" spans="1:17" s="488" customFormat="1" ht="15" customHeight="1" x14ac:dyDescent="0.2">
      <c r="A90" s="508">
        <v>43009</v>
      </c>
      <c r="B90" s="490" t="s">
        <v>825</v>
      </c>
      <c r="C90" s="491">
        <v>6705.6069656676964</v>
      </c>
      <c r="D90" s="491">
        <v>795.18515816597801</v>
      </c>
      <c r="E90" s="491">
        <v>7500.7921238336749</v>
      </c>
      <c r="F90" s="491">
        <v>4.3823516296067391</v>
      </c>
      <c r="G90" s="491">
        <v>2270.8144665035161</v>
      </c>
      <c r="H90" s="491">
        <v>9771.6065903371909</v>
      </c>
      <c r="I90" s="491">
        <v>5.7090791689816074</v>
      </c>
      <c r="J90" s="493">
        <v>220.95653297385525</v>
      </c>
      <c r="K90" s="493">
        <v>163.77487782948629</v>
      </c>
      <c r="L90" s="494"/>
      <c r="M90" s="494"/>
      <c r="N90" s="494"/>
      <c r="O90" s="494"/>
    </row>
    <row r="91" spans="1:17" s="488" customFormat="1" ht="15" customHeight="1" x14ac:dyDescent="0.2">
      <c r="A91" s="508">
        <v>43040</v>
      </c>
      <c r="B91" s="490" t="s">
        <v>825</v>
      </c>
      <c r="C91" s="491">
        <v>6734.5650637483704</v>
      </c>
      <c r="D91" s="491">
        <v>600.55217208568649</v>
      </c>
      <c r="E91" s="491">
        <v>7335.1172358340573</v>
      </c>
      <c r="F91" s="491">
        <v>4.2425289324998721</v>
      </c>
      <c r="G91" s="491">
        <v>2324.1386422745554</v>
      </c>
      <c r="H91" s="491">
        <v>9659.2558781086118</v>
      </c>
      <c r="I91" s="491">
        <v>5.5867781266123897</v>
      </c>
      <c r="J91" s="493">
        <v>-165.67488799961757</v>
      </c>
      <c r="K91" s="493">
        <v>-112.35071222857914</v>
      </c>
      <c r="L91" s="494"/>
      <c r="M91" s="494"/>
      <c r="N91" s="494"/>
      <c r="O91" s="494"/>
    </row>
    <row r="92" spans="1:17" s="488" customFormat="1" ht="15" customHeight="1" x14ac:dyDescent="0.2">
      <c r="A92" s="508">
        <v>43070</v>
      </c>
      <c r="B92" s="490" t="s">
        <v>825</v>
      </c>
      <c r="C92" s="491">
        <v>7470.4853086657504</v>
      </c>
      <c r="D92" s="491">
        <v>488.16734457393557</v>
      </c>
      <c r="E92" s="491">
        <v>7958.6526532396856</v>
      </c>
      <c r="F92" s="491">
        <v>4.5521813209865645</v>
      </c>
      <c r="G92" s="491">
        <v>2477.8417644249516</v>
      </c>
      <c r="H92" s="491">
        <v>10436.494417664637</v>
      </c>
      <c r="I92" s="491">
        <v>5.9694545062642437</v>
      </c>
      <c r="J92" s="493">
        <v>623.53541740562832</v>
      </c>
      <c r="K92" s="493">
        <v>777.23853955602499</v>
      </c>
      <c r="L92" s="494"/>
      <c r="M92" s="494"/>
      <c r="N92" s="494"/>
      <c r="O92" s="494"/>
    </row>
    <row r="93" spans="1:17" s="488" customFormat="1" ht="15" customHeight="1" x14ac:dyDescent="0.2">
      <c r="A93" s="507">
        <v>43101</v>
      </c>
      <c r="B93" s="483" t="s">
        <v>825</v>
      </c>
      <c r="C93" s="485">
        <v>7283.1658884395765</v>
      </c>
      <c r="D93" s="485">
        <v>386.81593990538994</v>
      </c>
      <c r="E93" s="485">
        <v>7669.9818283449667</v>
      </c>
      <c r="F93" s="485">
        <v>4.1756538292445278</v>
      </c>
      <c r="G93" s="485">
        <v>2370.3617293842099</v>
      </c>
      <c r="H93" s="485">
        <v>10040.343557729177</v>
      </c>
      <c r="I93" s="485">
        <v>5.4661145178761208</v>
      </c>
      <c r="J93" s="487">
        <v>-288.67082489471886</v>
      </c>
      <c r="K93" s="487">
        <v>-396.15085993546018</v>
      </c>
      <c r="L93" s="494"/>
      <c r="M93" s="494"/>
      <c r="N93" s="494"/>
      <c r="O93" s="494"/>
      <c r="P93" s="494"/>
      <c r="Q93" s="494"/>
    </row>
    <row r="94" spans="1:17" s="488" customFormat="1" ht="15" customHeight="1" x14ac:dyDescent="0.2">
      <c r="A94" s="507">
        <v>43132</v>
      </c>
      <c r="B94" s="483" t="s">
        <v>825</v>
      </c>
      <c r="C94" s="485">
        <v>7519.4163348505081</v>
      </c>
      <c r="D94" s="485">
        <v>402.95263789069412</v>
      </c>
      <c r="E94" s="485">
        <v>7922.368972741202</v>
      </c>
      <c r="F94" s="485">
        <v>4.2598859578177528</v>
      </c>
      <c r="G94" s="485">
        <v>2139.9853036114537</v>
      </c>
      <c r="H94" s="485">
        <v>10062.354276352657</v>
      </c>
      <c r="I94" s="485">
        <v>5.4105636624483866</v>
      </c>
      <c r="J94" s="487">
        <v>252.38714439623527</v>
      </c>
      <c r="K94" s="487">
        <v>22.010718623479988</v>
      </c>
      <c r="L94" s="494"/>
      <c r="M94" s="494"/>
      <c r="N94" s="494"/>
      <c r="O94" s="494"/>
      <c r="P94" s="494"/>
      <c r="Q94" s="494"/>
    </row>
    <row r="95" spans="1:17" s="488" customFormat="1" ht="15" customHeight="1" x14ac:dyDescent="0.2">
      <c r="A95" s="507">
        <v>43160</v>
      </c>
      <c r="B95" s="483" t="s">
        <v>825</v>
      </c>
      <c r="C95" s="485">
        <v>7124.5918791113845</v>
      </c>
      <c r="D95" s="485">
        <v>195.15783073843147</v>
      </c>
      <c r="E95" s="485">
        <v>7319.7497098498161</v>
      </c>
      <c r="F95" s="485">
        <v>3.9214644871030524</v>
      </c>
      <c r="G95" s="485">
        <v>2256.222672228248</v>
      </c>
      <c r="H95" s="485">
        <v>9575.9723820780637</v>
      </c>
      <c r="I95" s="485">
        <v>5.1302076046763112</v>
      </c>
      <c r="J95" s="487">
        <v>-602.61926289138592</v>
      </c>
      <c r="K95" s="487">
        <v>-486.38189427459292</v>
      </c>
      <c r="L95" s="494"/>
      <c r="M95" s="494"/>
      <c r="N95" s="494"/>
      <c r="O95" s="494"/>
      <c r="P95" s="494"/>
      <c r="Q95" s="494"/>
    </row>
    <row r="96" spans="1:17" s="488" customFormat="1" ht="15" customHeight="1" x14ac:dyDescent="0.2">
      <c r="A96" s="507">
        <v>43191</v>
      </c>
      <c r="B96" s="483" t="s">
        <v>825</v>
      </c>
      <c r="C96" s="485">
        <v>7182.4121760672633</v>
      </c>
      <c r="D96" s="485">
        <v>2753.3566350868632</v>
      </c>
      <c r="E96" s="485">
        <v>9935.7688111541265</v>
      </c>
      <c r="F96" s="485">
        <v>5.289358823554017</v>
      </c>
      <c r="G96" s="485">
        <v>2376.5402218605795</v>
      </c>
      <c r="H96" s="485">
        <v>12312.309033014706</v>
      </c>
      <c r="I96" s="485">
        <v>6.5545225195850163</v>
      </c>
      <c r="J96" s="487">
        <v>2616.0191013043104</v>
      </c>
      <c r="K96" s="487">
        <v>2736.3366509366424</v>
      </c>
      <c r="L96" s="494"/>
      <c r="M96" s="494"/>
      <c r="N96" s="494"/>
      <c r="O96" s="494"/>
      <c r="P96" s="494"/>
      <c r="Q96" s="494"/>
    </row>
    <row r="97" spans="1:17" s="488" customFormat="1" ht="15" customHeight="1" x14ac:dyDescent="0.2">
      <c r="A97" s="507">
        <v>43221</v>
      </c>
      <c r="B97" s="483" t="s">
        <v>825</v>
      </c>
      <c r="C97" s="485">
        <v>6740.4354852953029</v>
      </c>
      <c r="D97" s="485">
        <v>2068.4808500530708</v>
      </c>
      <c r="E97" s="485">
        <v>8808.9163353483746</v>
      </c>
      <c r="F97" s="485">
        <v>4.6689349388091852</v>
      </c>
      <c r="G97" s="485">
        <v>2192.6371985752744</v>
      </c>
      <c r="H97" s="485">
        <v>11001.553533923649</v>
      </c>
      <c r="I97" s="485">
        <v>5.83108474643997</v>
      </c>
      <c r="J97" s="487">
        <v>-1126.852475805752</v>
      </c>
      <c r="K97" s="487">
        <v>-1310.7554990910576</v>
      </c>
      <c r="L97" s="494"/>
      <c r="M97" s="494"/>
      <c r="N97" s="494"/>
      <c r="O97" s="494"/>
      <c r="P97" s="494"/>
      <c r="Q97" s="494"/>
    </row>
    <row r="98" spans="1:17" s="488" customFormat="1" ht="15" customHeight="1" x14ac:dyDescent="0.2">
      <c r="A98" s="507">
        <v>43252</v>
      </c>
      <c r="B98" s="483" t="s">
        <v>825</v>
      </c>
      <c r="C98" s="485">
        <v>7277.5631291737363</v>
      </c>
      <c r="D98" s="485">
        <v>1989.4546610523141</v>
      </c>
      <c r="E98" s="485">
        <v>9267.0177902260511</v>
      </c>
      <c r="F98" s="485">
        <v>4.8668317404773749</v>
      </c>
      <c r="G98" s="485">
        <v>2051.2094136904857</v>
      </c>
      <c r="H98" s="485">
        <v>11318.227203916536</v>
      </c>
      <c r="I98" s="485">
        <v>5.9440813267945414</v>
      </c>
      <c r="J98" s="487">
        <v>458.10145487767659</v>
      </c>
      <c r="K98" s="487">
        <v>316.67366999288788</v>
      </c>
      <c r="L98" s="494"/>
      <c r="M98" s="494"/>
      <c r="N98" s="494"/>
      <c r="O98" s="494"/>
      <c r="P98" s="494"/>
      <c r="Q98" s="494"/>
    </row>
    <row r="99" spans="1:17" s="488" customFormat="1" ht="15" customHeight="1" x14ac:dyDescent="0.2">
      <c r="A99" s="507">
        <v>43282</v>
      </c>
      <c r="B99" s="483" t="s">
        <v>825</v>
      </c>
      <c r="C99" s="485">
        <v>7464.2932638023431</v>
      </c>
      <c r="D99" s="485">
        <v>965.37866930856012</v>
      </c>
      <c r="E99" s="485">
        <v>8429.6719331109034</v>
      </c>
      <c r="F99" s="485">
        <v>4.4034680895190936</v>
      </c>
      <c r="G99" s="485">
        <v>2345.4765287642949</v>
      </c>
      <c r="H99" s="485">
        <v>10775.148461875198</v>
      </c>
      <c r="I99" s="485">
        <v>5.6286914589554922</v>
      </c>
      <c r="J99" s="487">
        <v>-837.34585711514774</v>
      </c>
      <c r="K99" s="487">
        <v>-543.07874204133805</v>
      </c>
      <c r="L99" s="494"/>
      <c r="M99" s="494"/>
      <c r="N99" s="494"/>
      <c r="O99" s="494"/>
      <c r="P99" s="494"/>
      <c r="Q99" s="494"/>
    </row>
    <row r="100" spans="1:17" s="488" customFormat="1" ht="15" customHeight="1" x14ac:dyDescent="0.2">
      <c r="A100" s="507">
        <v>43313</v>
      </c>
      <c r="B100" s="483" t="s">
        <v>825</v>
      </c>
      <c r="C100" s="485">
        <v>7659.4507818830289</v>
      </c>
      <c r="D100" s="485">
        <v>925.08704020944674</v>
      </c>
      <c r="E100" s="485">
        <v>8584.5378220924758</v>
      </c>
      <c r="F100" s="485">
        <v>4.4799468712052564</v>
      </c>
      <c r="G100" s="485">
        <v>2395.5738057729322</v>
      </c>
      <c r="H100" s="485">
        <v>10980.111627865408</v>
      </c>
      <c r="I100" s="485">
        <v>5.7301065883998845</v>
      </c>
      <c r="J100" s="487">
        <v>154.86588898157243</v>
      </c>
      <c r="K100" s="487">
        <v>204.96316599020975</v>
      </c>
      <c r="L100" s="494"/>
      <c r="M100" s="494"/>
      <c r="N100" s="494"/>
      <c r="O100" s="494"/>
      <c r="P100" s="494"/>
      <c r="Q100" s="494"/>
    </row>
    <row r="101" spans="1:17" s="488" customFormat="1" ht="15" customHeight="1" x14ac:dyDescent="0.2">
      <c r="A101" s="507">
        <v>43344</v>
      </c>
      <c r="B101" s="483" t="s">
        <v>825</v>
      </c>
      <c r="C101" s="485">
        <v>6572.380278874648</v>
      </c>
      <c r="D101" s="485">
        <v>591.69906313482215</v>
      </c>
      <c r="E101" s="485">
        <v>7164.0793420094706</v>
      </c>
      <c r="F101" s="485">
        <v>3.7262958327214779</v>
      </c>
      <c r="G101" s="485">
        <v>2472.8023349012483</v>
      </c>
      <c r="H101" s="485">
        <v>9636.8816769107179</v>
      </c>
      <c r="I101" s="485">
        <v>5.0124894377607392</v>
      </c>
      <c r="J101" s="487">
        <v>-1420.4584800830053</v>
      </c>
      <c r="K101" s="487">
        <v>-1343.2299509546901</v>
      </c>
      <c r="L101" s="494"/>
      <c r="M101" s="494"/>
      <c r="N101" s="494"/>
      <c r="O101" s="494"/>
      <c r="P101" s="494"/>
      <c r="Q101" s="494"/>
    </row>
    <row r="102" spans="1:17" s="488" customFormat="1" ht="15" customHeight="1" x14ac:dyDescent="0.2">
      <c r="A102" s="507">
        <v>43374</v>
      </c>
      <c r="B102" s="483" t="s">
        <v>825</v>
      </c>
      <c r="C102" s="485">
        <v>6522.4316582208448</v>
      </c>
      <c r="D102" s="485">
        <v>1380.8736601068838</v>
      </c>
      <c r="E102" s="485">
        <v>7903.3053183277289</v>
      </c>
      <c r="F102" s="485">
        <v>4.0901531625529861</v>
      </c>
      <c r="G102" s="485">
        <v>2467.7443290845317</v>
      </c>
      <c r="H102" s="485">
        <v>10371.049647412261</v>
      </c>
      <c r="I102" s="485">
        <v>5.3672710095088183</v>
      </c>
      <c r="J102" s="487">
        <v>739.22597631825829</v>
      </c>
      <c r="K102" s="487">
        <v>734.1679705015431</v>
      </c>
      <c r="L102" s="494"/>
      <c r="M102" s="494"/>
      <c r="N102" s="494"/>
      <c r="O102" s="494"/>
      <c r="P102" s="494"/>
      <c r="Q102" s="494"/>
    </row>
    <row r="103" spans="1:17" s="488" customFormat="1" ht="15" customHeight="1" x14ac:dyDescent="0.2">
      <c r="A103" s="507">
        <v>43405</v>
      </c>
      <c r="B103" s="483" t="s">
        <v>825</v>
      </c>
      <c r="C103" s="485">
        <v>5874.946826992651</v>
      </c>
      <c r="D103" s="485">
        <v>1130.3756516195604</v>
      </c>
      <c r="E103" s="485">
        <v>7005.3224786122119</v>
      </c>
      <c r="F103" s="485">
        <v>3.6461088805183697</v>
      </c>
      <c r="G103" s="485">
        <v>2703.1817208493276</v>
      </c>
      <c r="H103" s="485">
        <v>9708.5041994615385</v>
      </c>
      <c r="I103" s="485">
        <v>5.0530526590717582</v>
      </c>
      <c r="J103" s="487">
        <v>-897.982839715517</v>
      </c>
      <c r="K103" s="487">
        <v>-662.54544795072252</v>
      </c>
      <c r="L103" s="494"/>
      <c r="M103" s="494"/>
      <c r="N103" s="494"/>
      <c r="O103" s="494"/>
      <c r="P103" s="494"/>
      <c r="Q103" s="494"/>
    </row>
    <row r="104" spans="1:17" s="488" customFormat="1" ht="15" customHeight="1" x14ac:dyDescent="0.2">
      <c r="A104" s="507">
        <v>43435</v>
      </c>
      <c r="B104" s="483" t="s">
        <v>825</v>
      </c>
      <c r="C104" s="485">
        <v>6102.1310218298404</v>
      </c>
      <c r="D104" s="485">
        <v>817.08575413748508</v>
      </c>
      <c r="E104" s="485">
        <v>6919.2167759673257</v>
      </c>
      <c r="F104" s="485">
        <v>3.7345458219164338</v>
      </c>
      <c r="G104" s="485">
        <v>2663.6363495965784</v>
      </c>
      <c r="H104" s="485">
        <v>9582.8531255639045</v>
      </c>
      <c r="I104" s="485">
        <v>5.1722044937825071</v>
      </c>
      <c r="J104" s="487">
        <v>-86.105702644886151</v>
      </c>
      <c r="K104" s="487">
        <v>-125.65107389763398</v>
      </c>
      <c r="L104" s="494"/>
      <c r="M104" s="494"/>
      <c r="N104" s="494"/>
      <c r="O104" s="494"/>
      <c r="P104" s="494"/>
      <c r="Q104" s="494"/>
    </row>
    <row r="105" spans="1:17" s="488" customFormat="1" ht="15" customHeight="1" x14ac:dyDescent="0.2">
      <c r="A105" s="508">
        <v>43466</v>
      </c>
      <c r="B105" s="490" t="s">
        <v>825</v>
      </c>
      <c r="C105" s="491">
        <v>5984.4980246011264</v>
      </c>
      <c r="D105" s="491">
        <v>167.69818442240779</v>
      </c>
      <c r="E105" s="491">
        <v>6152.1962090235338</v>
      </c>
      <c r="F105" s="491">
        <v>3.3750599373896417</v>
      </c>
      <c r="G105" s="491">
        <v>2570.7148551134223</v>
      </c>
      <c r="H105" s="491">
        <v>8722.9110641369552</v>
      </c>
      <c r="I105" s="491">
        <v>4.7853395226245903</v>
      </c>
      <c r="J105" s="493">
        <v>-767.02056694379189</v>
      </c>
      <c r="K105" s="493">
        <v>-859.94206142694929</v>
      </c>
    </row>
    <row r="106" spans="1:17" s="488" customFormat="1" ht="15" customHeight="1" x14ac:dyDescent="0.2">
      <c r="A106" s="508">
        <v>43497</v>
      </c>
      <c r="B106" s="490" t="s">
        <v>825</v>
      </c>
      <c r="C106" s="491">
        <v>5793.2300492786126</v>
      </c>
      <c r="D106" s="491">
        <v>241.925079147372</v>
      </c>
      <c r="E106" s="491">
        <v>6035.1551284259849</v>
      </c>
      <c r="F106" s="491">
        <v>3.3955455811043871</v>
      </c>
      <c r="G106" s="491">
        <v>2619.9080743464228</v>
      </c>
      <c r="H106" s="491">
        <v>8655.0632027724077</v>
      </c>
      <c r="I106" s="491">
        <v>4.8695784925113967</v>
      </c>
      <c r="J106" s="493">
        <v>-117.0410805975489</v>
      </c>
      <c r="K106" s="493">
        <v>-67.847861364547498</v>
      </c>
    </row>
    <row r="107" spans="1:17" s="488" customFormat="1" ht="15" customHeight="1" x14ac:dyDescent="0.2">
      <c r="A107" s="508">
        <v>43525</v>
      </c>
      <c r="B107" s="490" t="s">
        <v>825</v>
      </c>
      <c r="C107" s="491">
        <v>5705.4432821048094</v>
      </c>
      <c r="D107" s="491">
        <v>1923.7986588974049</v>
      </c>
      <c r="E107" s="491">
        <v>7629.2419410022139</v>
      </c>
      <c r="F107" s="491">
        <v>4.3432254098668501</v>
      </c>
      <c r="G107" s="491">
        <v>2879.7545936917732</v>
      </c>
      <c r="H107" s="491">
        <v>10508.996534693986</v>
      </c>
      <c r="I107" s="491">
        <v>5.9826311886092469</v>
      </c>
      <c r="J107" s="493">
        <v>1594.086812576229</v>
      </c>
      <c r="K107" s="493">
        <v>1853.9333319215784</v>
      </c>
    </row>
    <row r="108" spans="1:17" s="488" customFormat="1" ht="15" customHeight="1" x14ac:dyDescent="0.2">
      <c r="A108" s="508">
        <v>43556</v>
      </c>
      <c r="B108" s="490" t="s">
        <v>825</v>
      </c>
      <c r="C108" s="491">
        <v>6387.0247500850146</v>
      </c>
      <c r="D108" s="491">
        <v>826.94730740854925</v>
      </c>
      <c r="E108" s="491">
        <v>7213.9720574935636</v>
      </c>
      <c r="F108" s="491">
        <v>4.1457707884961765</v>
      </c>
      <c r="G108" s="491">
        <v>2879.4816200108439</v>
      </c>
      <c r="H108" s="491">
        <v>10093.453677504407</v>
      </c>
      <c r="I108" s="491">
        <v>5.800569378109822</v>
      </c>
      <c r="J108" s="493">
        <v>-415.26988350865031</v>
      </c>
      <c r="K108" s="493">
        <v>-415.54285718957908</v>
      </c>
    </row>
    <row r="109" spans="1:17" s="488" customFormat="1" ht="15" customHeight="1" x14ac:dyDescent="0.2">
      <c r="A109" s="508">
        <v>43586</v>
      </c>
      <c r="B109" s="490" t="s">
        <v>825</v>
      </c>
      <c r="C109" s="491">
        <v>6319.9322008526697</v>
      </c>
      <c r="D109" s="491">
        <v>402.68042893406823</v>
      </c>
      <c r="E109" s="491">
        <v>6722.6126297867377</v>
      </c>
      <c r="F109" s="491">
        <v>3.8769961712711063</v>
      </c>
      <c r="G109" s="491">
        <v>2783.9927022784241</v>
      </c>
      <c r="H109" s="491">
        <v>9506.6053320651627</v>
      </c>
      <c r="I109" s="491">
        <v>5.4825518743850843</v>
      </c>
      <c r="J109" s="493">
        <v>-491.35942770682595</v>
      </c>
      <c r="K109" s="493">
        <v>-586.84834543924444</v>
      </c>
    </row>
    <row r="110" spans="1:17" s="488" customFormat="1" ht="15" customHeight="1" x14ac:dyDescent="0.2">
      <c r="A110" s="508">
        <v>43617</v>
      </c>
      <c r="B110" s="490" t="s">
        <v>825</v>
      </c>
      <c r="C110" s="491">
        <v>6673.9178181198913</v>
      </c>
      <c r="D110" s="491">
        <v>2191.0667049967601</v>
      </c>
      <c r="E110" s="491">
        <v>8864.984523116651</v>
      </c>
      <c r="F110" s="491">
        <v>5.2177510790688979</v>
      </c>
      <c r="G110" s="491">
        <v>2636.9926104642277</v>
      </c>
      <c r="H110" s="491">
        <v>11501.977133580878</v>
      </c>
      <c r="I110" s="491">
        <v>6.7698317401086925</v>
      </c>
      <c r="J110" s="493">
        <v>2142.3718933299133</v>
      </c>
      <c r="K110" s="493">
        <v>1995.3718015157156</v>
      </c>
    </row>
    <row r="111" spans="1:17" s="488" customFormat="1" ht="15" customHeight="1" x14ac:dyDescent="0.2">
      <c r="A111" s="508">
        <v>43647</v>
      </c>
      <c r="B111" s="490" t="s">
        <v>825</v>
      </c>
      <c r="C111" s="491">
        <v>6589.1164731602657</v>
      </c>
      <c r="D111" s="491">
        <v>1757.9473576215089</v>
      </c>
      <c r="E111" s="491">
        <v>8347.0638307817753</v>
      </c>
      <c r="F111" s="491">
        <v>4.9222194862485322</v>
      </c>
      <c r="G111" s="491">
        <v>2637.5008841174295</v>
      </c>
      <c r="H111" s="491">
        <v>10984.564714899205</v>
      </c>
      <c r="I111" s="491">
        <v>6.4775398372113475</v>
      </c>
      <c r="J111" s="493">
        <v>-517.92069233487564</v>
      </c>
      <c r="K111" s="493">
        <v>-517.41241868167344</v>
      </c>
    </row>
    <row r="112" spans="1:17" s="488" customFormat="1" ht="15" customHeight="1" x14ac:dyDescent="0.2">
      <c r="A112" s="508">
        <v>43678</v>
      </c>
      <c r="B112" s="490" t="s">
        <v>825</v>
      </c>
      <c r="C112" s="491">
        <v>6816.7265142554434</v>
      </c>
      <c r="D112" s="491">
        <v>1706.9857636691913</v>
      </c>
      <c r="E112" s="491">
        <v>8523.7122779246347</v>
      </c>
      <c r="F112" s="491">
        <v>5.1050380549375403</v>
      </c>
      <c r="G112" s="491">
        <v>2755.4466297223084</v>
      </c>
      <c r="H112" s="491">
        <v>11279.158907646943</v>
      </c>
      <c r="I112" s="491">
        <v>6.7553354188587376</v>
      </c>
      <c r="J112" s="493">
        <v>176.64844714285937</v>
      </c>
      <c r="K112" s="493">
        <v>294.59419274773791</v>
      </c>
    </row>
    <row r="113" spans="1:13" s="488" customFormat="1" ht="15" customHeight="1" x14ac:dyDescent="0.2">
      <c r="A113" s="508">
        <v>43709</v>
      </c>
      <c r="B113" s="490" t="s">
        <v>825</v>
      </c>
      <c r="C113" s="491">
        <v>6585.9635342600668</v>
      </c>
      <c r="D113" s="491">
        <v>1049.3684293210692</v>
      </c>
      <c r="E113" s="491">
        <v>7635.3319635811358</v>
      </c>
      <c r="F113" s="491">
        <v>4.5862144957570026</v>
      </c>
      <c r="G113" s="491">
        <v>2726.8729807505997</v>
      </c>
      <c r="H113" s="491">
        <v>10362.204944331736</v>
      </c>
      <c r="I113" s="491">
        <v>6.2241294485131515</v>
      </c>
      <c r="J113" s="493">
        <v>-888.38031434349887</v>
      </c>
      <c r="K113" s="493">
        <v>-916.95396331520715</v>
      </c>
    </row>
    <row r="114" spans="1:13" s="488" customFormat="1" ht="15" customHeight="1" x14ac:dyDescent="0.2">
      <c r="A114" s="508">
        <v>43739</v>
      </c>
      <c r="B114" s="490" t="s">
        <v>825</v>
      </c>
      <c r="C114" s="491">
        <v>6957.8575533235071</v>
      </c>
      <c r="D114" s="491">
        <v>822.22546026637508</v>
      </c>
      <c r="E114" s="491">
        <v>7780.0830135898823</v>
      </c>
      <c r="F114" s="491">
        <v>4.6888259176658469</v>
      </c>
      <c r="G114" s="491">
        <v>2629.6978001777311</v>
      </c>
      <c r="H114" s="491">
        <v>10409.780813767613</v>
      </c>
      <c r="I114" s="491">
        <v>6.2736670022101126</v>
      </c>
      <c r="J114" s="493">
        <v>144.75105000874646</v>
      </c>
      <c r="K114" s="493">
        <v>47.575869435877394</v>
      </c>
    </row>
    <row r="115" spans="1:13" s="488" customFormat="1" ht="15" customHeight="1" x14ac:dyDescent="0.2">
      <c r="A115" s="508">
        <v>43770</v>
      </c>
      <c r="B115" s="490" t="s">
        <v>825</v>
      </c>
      <c r="C115" s="491">
        <v>6958.9227536023272</v>
      </c>
      <c r="D115" s="491">
        <v>561.53022881363268</v>
      </c>
      <c r="E115" s="491">
        <v>7520.4529824159599</v>
      </c>
      <c r="F115" s="491">
        <v>4.5378034303302215</v>
      </c>
      <c r="G115" s="491">
        <v>2717.0704825954522</v>
      </c>
      <c r="H115" s="491">
        <v>10237.523465011413</v>
      </c>
      <c r="I115" s="491">
        <v>6.1772700668744678</v>
      </c>
      <c r="J115" s="493">
        <v>-259.63003117392236</v>
      </c>
      <c r="K115" s="493">
        <v>-172.25734875620037</v>
      </c>
    </row>
    <row r="116" spans="1:13" s="488" customFormat="1" ht="15" customHeight="1" x14ac:dyDescent="0.2">
      <c r="A116" s="508">
        <v>43800</v>
      </c>
      <c r="B116" s="490" t="s">
        <v>825</v>
      </c>
      <c r="C116" s="491">
        <v>7256.0228608532962</v>
      </c>
      <c r="D116" s="491">
        <v>386.37013990513896</v>
      </c>
      <c r="E116" s="491">
        <v>7642.3930007584349</v>
      </c>
      <c r="F116" s="491">
        <v>4.599907137714319</v>
      </c>
      <c r="G116" s="491">
        <v>2759.5012578871947</v>
      </c>
      <c r="H116" s="491">
        <v>10401.894258645629</v>
      </c>
      <c r="I116" s="491">
        <v>6.2608331763814276</v>
      </c>
      <c r="J116" s="493">
        <v>121.94001834247501</v>
      </c>
      <c r="K116" s="493">
        <v>164.37079363421617</v>
      </c>
    </row>
    <row r="117" spans="1:13" s="488" customFormat="1" ht="15" customHeight="1" x14ac:dyDescent="0.2">
      <c r="A117" s="507">
        <v>43831</v>
      </c>
      <c r="B117" s="483" t="s">
        <v>825</v>
      </c>
      <c r="C117" s="485">
        <v>7186.3518244601164</v>
      </c>
      <c r="D117" s="485">
        <v>326.38170494603929</v>
      </c>
      <c r="E117" s="485">
        <v>7512.7335294061559</v>
      </c>
      <c r="F117" s="485">
        <v>4.5038235316291759</v>
      </c>
      <c r="G117" s="485">
        <v>2876.0507828081645</v>
      </c>
      <c r="H117" s="485">
        <v>10388.78431221432</v>
      </c>
      <c r="I117" s="485">
        <v>6.2279929225799835</v>
      </c>
      <c r="J117" s="487">
        <v>-129.65947135227901</v>
      </c>
      <c r="K117" s="487">
        <v>-13.109946431308344</v>
      </c>
    </row>
    <row r="118" spans="1:13" s="488" customFormat="1" ht="15" customHeight="1" x14ac:dyDescent="0.2">
      <c r="A118" s="507">
        <v>43862</v>
      </c>
      <c r="B118" s="483" t="s">
        <v>825</v>
      </c>
      <c r="C118" s="485">
        <v>7645.8271959551375</v>
      </c>
      <c r="D118" s="485">
        <v>295.68787437986435</v>
      </c>
      <c r="E118" s="485">
        <v>7941.5150703350018</v>
      </c>
      <c r="F118" s="485">
        <v>4.7301717445654052</v>
      </c>
      <c r="G118" s="485">
        <v>2996.6586846369601</v>
      </c>
      <c r="H118" s="485">
        <v>10938.173754971962</v>
      </c>
      <c r="I118" s="485">
        <v>6.5150591511416343</v>
      </c>
      <c r="J118" s="487">
        <v>428.78154092884597</v>
      </c>
      <c r="K118" s="487">
        <v>549.38944275764152</v>
      </c>
    </row>
    <row r="119" spans="1:13" s="488" customFormat="1" ht="15" customHeight="1" x14ac:dyDescent="0.2">
      <c r="A119" s="507">
        <v>43891</v>
      </c>
      <c r="B119" s="483" t="s">
        <v>825</v>
      </c>
      <c r="C119" s="485">
        <v>7062.9940015786615</v>
      </c>
      <c r="D119" s="485">
        <v>470.74256781549116</v>
      </c>
      <c r="E119" s="485">
        <v>7533.7365693941529</v>
      </c>
      <c r="F119" s="485">
        <v>4.6071134284530633</v>
      </c>
      <c r="G119" s="485">
        <v>3151.94030060963</v>
      </c>
      <c r="H119" s="485">
        <v>10685.676870003783</v>
      </c>
      <c r="I119" s="485">
        <v>6.5346226200558153</v>
      </c>
      <c r="J119" s="487">
        <v>-407.77850094084897</v>
      </c>
      <c r="K119" s="487">
        <v>-252.49688496817907</v>
      </c>
    </row>
    <row r="120" spans="1:13" s="488" customFormat="1" ht="15" customHeight="1" x14ac:dyDescent="0.2">
      <c r="A120" s="507">
        <v>43922</v>
      </c>
      <c r="B120" s="483" t="s">
        <v>825</v>
      </c>
      <c r="C120" s="485">
        <v>7076.3395488995284</v>
      </c>
      <c r="D120" s="485">
        <v>133.18055223962438</v>
      </c>
      <c r="E120" s="485">
        <v>7209.5201011391528</v>
      </c>
      <c r="F120" s="485">
        <v>4.5177349749136235</v>
      </c>
      <c r="G120" s="485">
        <v>3084.4564739174939</v>
      </c>
      <c r="H120" s="485">
        <v>10293.976575056648</v>
      </c>
      <c r="I120" s="485">
        <v>6.4505622221272114</v>
      </c>
      <c r="J120" s="487">
        <v>-324.21646825500011</v>
      </c>
      <c r="K120" s="487">
        <v>-391.70029494713526</v>
      </c>
    </row>
    <row r="121" spans="1:13" s="488" customFormat="1" ht="15" customHeight="1" x14ac:dyDescent="0.2">
      <c r="A121" s="507">
        <v>43952</v>
      </c>
      <c r="B121" s="483" t="s">
        <v>825</v>
      </c>
      <c r="C121" s="485">
        <v>6357.5734212342995</v>
      </c>
      <c r="D121" s="485">
        <v>142.28383028813147</v>
      </c>
      <c r="E121" s="485">
        <v>6499.8572515224314</v>
      </c>
      <c r="F121" s="485">
        <v>4.2482626939205073</v>
      </c>
      <c r="G121" s="485">
        <v>2748.7904788785063</v>
      </c>
      <c r="H121" s="485">
        <v>9248.6477304009386</v>
      </c>
      <c r="I121" s="485">
        <v>6.0448535409099931</v>
      </c>
      <c r="J121" s="487">
        <v>-709.66284961672136</v>
      </c>
      <c r="K121" s="487">
        <v>-1045.328844655709</v>
      </c>
    </row>
    <row r="122" spans="1:13" s="488" customFormat="1" ht="15" customHeight="1" x14ac:dyDescent="0.2">
      <c r="A122" s="507">
        <v>43983</v>
      </c>
      <c r="B122" s="483" t="s">
        <v>825</v>
      </c>
      <c r="C122" s="485">
        <v>6556.5400741848762</v>
      </c>
      <c r="D122" s="485">
        <v>138.1080531945581</v>
      </c>
      <c r="E122" s="485">
        <v>6694.6481273794343</v>
      </c>
      <c r="F122" s="485">
        <v>4.4592215439009228</v>
      </c>
      <c r="G122" s="485">
        <v>2817.8937568700512</v>
      </c>
      <c r="H122" s="485">
        <v>9512.5418842494855</v>
      </c>
      <c r="I122" s="485">
        <v>6.3361853977095546</v>
      </c>
      <c r="J122" s="487">
        <v>194.7908758570029</v>
      </c>
      <c r="K122" s="487">
        <v>263.89415384854692</v>
      </c>
    </row>
    <row r="123" spans="1:13" s="488" customFormat="1" ht="15" customHeight="1" x14ac:dyDescent="0.2">
      <c r="A123" s="507">
        <v>44013</v>
      </c>
      <c r="B123" s="483" t="s">
        <v>825</v>
      </c>
      <c r="C123" s="485">
        <v>6966.5042813317359</v>
      </c>
      <c r="D123" s="485">
        <v>129.32754124734956</v>
      </c>
      <c r="E123" s="485">
        <v>7095.8318225790854</v>
      </c>
      <c r="F123" s="485">
        <v>4.8398750795069869</v>
      </c>
      <c r="G123" s="485">
        <v>2936.5801337240682</v>
      </c>
      <c r="H123" s="485">
        <v>10032.411956303153</v>
      </c>
      <c r="I123" s="485">
        <v>6.8428370103353586</v>
      </c>
      <c r="J123" s="487">
        <v>401.18369519965108</v>
      </c>
      <c r="K123" s="487">
        <v>519.87007205366717</v>
      </c>
      <c r="M123" s="509"/>
    </row>
    <row r="124" spans="1:13" s="488" customFormat="1" ht="15" customHeight="1" x14ac:dyDescent="0.2">
      <c r="A124" s="507">
        <v>44044</v>
      </c>
      <c r="B124" s="483" t="s">
        <v>825</v>
      </c>
      <c r="C124" s="485">
        <v>7260.3346142179425</v>
      </c>
      <c r="D124" s="485">
        <v>169.74839247622177</v>
      </c>
      <c r="E124" s="485">
        <v>7430.0830066941644</v>
      </c>
      <c r="F124" s="485">
        <v>5.1511624454668921</v>
      </c>
      <c r="G124" s="485">
        <v>2915.1727233310539</v>
      </c>
      <c r="H124" s="485">
        <v>10345.255730025219</v>
      </c>
      <c r="I124" s="485">
        <v>7.1722069265235868</v>
      </c>
      <c r="J124" s="487">
        <v>334.25118411507901</v>
      </c>
      <c r="K124" s="487">
        <v>312.84377372206654</v>
      </c>
      <c r="M124" s="509"/>
    </row>
    <row r="125" spans="1:13" s="488" customFormat="1" ht="15" customHeight="1" x14ac:dyDescent="0.2">
      <c r="A125" s="507">
        <v>44075</v>
      </c>
      <c r="B125" s="483" t="s">
        <v>825</v>
      </c>
      <c r="C125" s="485">
        <v>6533.9956747199603</v>
      </c>
      <c r="D125" s="485">
        <v>132.32526346775376</v>
      </c>
      <c r="E125" s="485">
        <v>6666.3209381877141</v>
      </c>
      <c r="F125" s="485">
        <v>4.6717666455377485</v>
      </c>
      <c r="G125" s="485">
        <v>2542.5905599705038</v>
      </c>
      <c r="H125" s="485">
        <v>9208.911498158217</v>
      </c>
      <c r="I125" s="485">
        <v>6.4536175167258625</v>
      </c>
      <c r="J125" s="487">
        <v>-763.7620685064503</v>
      </c>
      <c r="K125" s="487">
        <v>-1136.3442318670022</v>
      </c>
      <c r="M125" s="509"/>
    </row>
    <row r="126" spans="1:13" s="488" customFormat="1" ht="15" customHeight="1" x14ac:dyDescent="0.2">
      <c r="A126" s="507">
        <v>44105</v>
      </c>
      <c r="B126" s="483" t="s">
        <v>825</v>
      </c>
      <c r="C126" s="485">
        <v>5733.5769402001488</v>
      </c>
      <c r="D126" s="485">
        <v>122.16700088915101</v>
      </c>
      <c r="E126" s="485">
        <v>5855.7439410892994</v>
      </c>
      <c r="F126" s="485">
        <v>4.2152141338938209</v>
      </c>
      <c r="G126" s="485">
        <v>2701.9366489233003</v>
      </c>
      <c r="H126" s="485">
        <v>8557.6805900126001</v>
      </c>
      <c r="I126" s="485">
        <v>6.1601833241464519</v>
      </c>
      <c r="J126" s="487">
        <v>-810.57699709841472</v>
      </c>
      <c r="K126" s="487">
        <v>-651.23090814561692</v>
      </c>
      <c r="M126" s="509"/>
    </row>
    <row r="127" spans="1:13" s="488" customFormat="1" ht="15" customHeight="1" x14ac:dyDescent="0.2">
      <c r="A127" s="507">
        <v>44136</v>
      </c>
      <c r="B127" s="483" t="s">
        <v>825</v>
      </c>
      <c r="C127" s="485">
        <v>5357.40975960984</v>
      </c>
      <c r="D127" s="485">
        <v>197.86584319023393</v>
      </c>
      <c r="E127" s="485">
        <v>5555.275602800074</v>
      </c>
      <c r="F127" s="485">
        <v>4.0865343809569845</v>
      </c>
      <c r="G127" s="485">
        <v>2808.3885988759794</v>
      </c>
      <c r="H127" s="485">
        <v>8363.6642016760525</v>
      </c>
      <c r="I127" s="485">
        <v>6.1524222657290126</v>
      </c>
      <c r="J127" s="487">
        <v>-300.46833828922536</v>
      </c>
      <c r="K127" s="487">
        <v>-194.01638833654761</v>
      </c>
    </row>
    <row r="128" spans="1:13" s="488" customFormat="1" ht="15" customHeight="1" x14ac:dyDescent="0.2">
      <c r="A128" s="507">
        <v>44166</v>
      </c>
      <c r="B128" s="483" t="s">
        <v>825</v>
      </c>
      <c r="C128" s="485">
        <v>5509.6401344602291</v>
      </c>
      <c r="D128" s="485">
        <v>154.62543489588975</v>
      </c>
      <c r="E128" s="485">
        <v>5664.2655693561192</v>
      </c>
      <c r="F128" s="485">
        <v>4.2335466716069776</v>
      </c>
      <c r="G128" s="485">
        <v>2856.479450502467</v>
      </c>
      <c r="H128" s="485">
        <v>8520.7450198585866</v>
      </c>
      <c r="I128" s="485">
        <v>6.3685170260360193</v>
      </c>
      <c r="J128" s="487">
        <v>108.98996655604515</v>
      </c>
      <c r="K128" s="487">
        <v>157.08081818253413</v>
      </c>
    </row>
    <row r="129" spans="1:13" s="488" customFormat="1" ht="15" customHeight="1" x14ac:dyDescent="0.2">
      <c r="A129" s="508">
        <v>44197</v>
      </c>
      <c r="B129" s="490" t="s">
        <v>825</v>
      </c>
      <c r="C129" s="491">
        <v>4692.8149414148829</v>
      </c>
      <c r="D129" s="491">
        <v>149.0480629416013</v>
      </c>
      <c r="E129" s="491">
        <v>4841.8630043564845</v>
      </c>
      <c r="F129" s="491">
        <v>3.6515630407586044</v>
      </c>
      <c r="G129" s="491">
        <v>2753.7112415142974</v>
      </c>
      <c r="H129" s="491">
        <v>7595.5742458707819</v>
      </c>
      <c r="I129" s="491">
        <v>5.7283153539462681</v>
      </c>
      <c r="J129" s="493">
        <v>-822.40256499963471</v>
      </c>
      <c r="K129" s="493">
        <v>-925.17077398780475</v>
      </c>
    </row>
    <row r="130" spans="1:13" s="488" customFormat="1" ht="15" customHeight="1" x14ac:dyDescent="0.2">
      <c r="A130" s="508">
        <v>44228</v>
      </c>
      <c r="B130" s="490" t="s">
        <v>825</v>
      </c>
      <c r="C130" s="491">
        <v>4407.8791142647933</v>
      </c>
      <c r="D130" s="491">
        <v>175.11430974172205</v>
      </c>
      <c r="E130" s="491">
        <v>4582.9934240065149</v>
      </c>
      <c r="F130" s="491">
        <v>3.4647639552355449</v>
      </c>
      <c r="G130" s="491">
        <v>2742.5515187646702</v>
      </c>
      <c r="H130" s="491">
        <v>7325.5449427711847</v>
      </c>
      <c r="I130" s="491">
        <v>5.5381454263538901</v>
      </c>
      <c r="J130" s="493">
        <v>-258.86958034996951</v>
      </c>
      <c r="K130" s="493">
        <v>-270.0293030995972</v>
      </c>
    </row>
    <row r="131" spans="1:13" s="488" customFormat="1" ht="15" customHeight="1" x14ac:dyDescent="0.2">
      <c r="A131" s="508">
        <v>44256</v>
      </c>
      <c r="B131" s="490" t="s">
        <v>825</v>
      </c>
      <c r="C131" s="491">
        <v>3887.3394259587203</v>
      </c>
      <c r="D131" s="491">
        <v>167.82425143206538</v>
      </c>
      <c r="E131" s="491">
        <v>4055.1636773907858</v>
      </c>
      <c r="F131" s="491">
        <v>2.932538441930741</v>
      </c>
      <c r="G131" s="491">
        <v>2457.1977719269585</v>
      </c>
      <c r="H131" s="491">
        <v>6512.3614493177447</v>
      </c>
      <c r="I131" s="491">
        <v>4.7094893861744556</v>
      </c>
      <c r="J131" s="493">
        <v>-527.82974661572916</v>
      </c>
      <c r="K131" s="493">
        <v>-813.18349345343995</v>
      </c>
    </row>
    <row r="132" spans="1:13" s="488" customFormat="1" ht="15" customHeight="1" x14ac:dyDescent="0.2">
      <c r="A132" s="508">
        <v>44287</v>
      </c>
      <c r="B132" s="490" t="s">
        <v>825</v>
      </c>
      <c r="C132" s="491">
        <v>4144.3055602144032</v>
      </c>
      <c r="D132" s="491">
        <v>326.43291199251087</v>
      </c>
      <c r="E132" s="491">
        <v>4470.7384722069137</v>
      </c>
      <c r="F132" s="491">
        <v>3.1230840592528999</v>
      </c>
      <c r="G132" s="491">
        <v>2589.6623411662645</v>
      </c>
      <c r="H132" s="491">
        <v>7060.4008133731786</v>
      </c>
      <c r="I132" s="491">
        <v>4.9321214759621617</v>
      </c>
      <c r="J132" s="493">
        <v>415.57479481612791</v>
      </c>
      <c r="K132" s="493">
        <v>548.03936405543391</v>
      </c>
    </row>
    <row r="133" spans="1:13" s="488" customFormat="1" ht="15" customHeight="1" x14ac:dyDescent="0.2">
      <c r="A133" s="508">
        <v>44317</v>
      </c>
      <c r="B133" s="490" t="s">
        <v>825</v>
      </c>
      <c r="C133" s="491">
        <v>3863.4468968392116</v>
      </c>
      <c r="D133" s="491">
        <v>169.38432105724306</v>
      </c>
      <c r="E133" s="491">
        <v>4032.8312178964547</v>
      </c>
      <c r="F133" s="491">
        <v>2.7200204023615497</v>
      </c>
      <c r="G133" s="491">
        <v>2746.413931189667</v>
      </c>
      <c r="H133" s="491">
        <v>6779.2451490861222</v>
      </c>
      <c r="I133" s="491">
        <v>4.5723919801788906</v>
      </c>
      <c r="J133" s="493">
        <v>-437.90725431045894</v>
      </c>
      <c r="K133" s="493">
        <v>-281.15566428705642</v>
      </c>
    </row>
    <row r="134" spans="1:13" s="488" customFormat="1" ht="15" customHeight="1" x14ac:dyDescent="0.2">
      <c r="A134" s="508">
        <v>44348</v>
      </c>
      <c r="B134" s="490" t="s">
        <v>825</v>
      </c>
      <c r="C134" s="491">
        <v>3866.8955718691877</v>
      </c>
      <c r="D134" s="491">
        <v>193.15033621293031</v>
      </c>
      <c r="E134" s="491">
        <v>4060.0459080821179</v>
      </c>
      <c r="F134" s="491">
        <v>2.6485005858299653</v>
      </c>
      <c r="G134" s="491">
        <v>2763.6740865409533</v>
      </c>
      <c r="H134" s="491">
        <v>6823.7199946230712</v>
      </c>
      <c r="I134" s="491">
        <v>4.4513354805478027</v>
      </c>
      <c r="J134" s="493">
        <v>27.21469018566313</v>
      </c>
      <c r="K134" s="493">
        <v>44.474845536949033</v>
      </c>
    </row>
    <row r="135" spans="1:13" s="488" customFormat="1" ht="15" customHeight="1" x14ac:dyDescent="0.2">
      <c r="A135" s="508">
        <v>44378</v>
      </c>
      <c r="B135" s="490" t="s">
        <v>825</v>
      </c>
      <c r="C135" s="491">
        <v>2635.8222622547537</v>
      </c>
      <c r="D135" s="491">
        <v>170.06190434102052</v>
      </c>
      <c r="E135" s="491">
        <v>2805.8841665957743</v>
      </c>
      <c r="F135" s="491">
        <v>1.7898547194655237</v>
      </c>
      <c r="G135" s="491">
        <v>3140.6507902482795</v>
      </c>
      <c r="H135" s="491">
        <v>5946.5349568440542</v>
      </c>
      <c r="I135" s="491">
        <v>3.7932548262985284</v>
      </c>
      <c r="J135" s="493">
        <v>-1254.1617414863435</v>
      </c>
      <c r="K135" s="493">
        <v>-877.18503777901697</v>
      </c>
    </row>
    <row r="136" spans="1:13" s="488" customFormat="1" ht="15" customHeight="1" x14ac:dyDescent="0.2">
      <c r="A136" s="508">
        <v>44409</v>
      </c>
      <c r="B136" s="490" t="s">
        <v>825</v>
      </c>
      <c r="C136" s="491">
        <v>3383.6678372844008</v>
      </c>
      <c r="D136" s="491">
        <v>159.84114864366668</v>
      </c>
      <c r="E136" s="491">
        <v>3543.5089859280674</v>
      </c>
      <c r="F136" s="491">
        <v>2.2135975414282623</v>
      </c>
      <c r="G136" s="491">
        <v>3765.8510558410089</v>
      </c>
      <c r="H136" s="491">
        <v>7309.3600417690759</v>
      </c>
      <c r="I136" s="491">
        <v>4.5660901332909605</v>
      </c>
      <c r="J136" s="493">
        <v>737.6248193322931</v>
      </c>
      <c r="K136" s="493">
        <v>1362.8250849250217</v>
      </c>
    </row>
    <row r="137" spans="1:13" s="488" customFormat="1" ht="15" customHeight="1" x14ac:dyDescent="0.2">
      <c r="A137" s="508">
        <v>44440</v>
      </c>
      <c r="B137" s="490" t="s">
        <v>825</v>
      </c>
      <c r="C137" s="491">
        <v>2279.6433675157323</v>
      </c>
      <c r="D137" s="491">
        <v>424.54393147320025</v>
      </c>
      <c r="E137" s="491">
        <v>2704.1872989889325</v>
      </c>
      <c r="F137" s="491">
        <v>1.689180067627676</v>
      </c>
      <c r="G137" s="491">
        <v>3440.9086736151635</v>
      </c>
      <c r="H137" s="491">
        <v>6145.0959726040965</v>
      </c>
      <c r="I137" s="491">
        <v>3.8385557222545148</v>
      </c>
      <c r="J137" s="493">
        <v>-839.32168693913491</v>
      </c>
      <c r="K137" s="493">
        <v>-1164.2640691649794</v>
      </c>
    </row>
    <row r="138" spans="1:13" s="488" customFormat="1" ht="15" customHeight="1" x14ac:dyDescent="0.2">
      <c r="A138" s="508">
        <v>44470</v>
      </c>
      <c r="B138" s="490" t="s">
        <v>825</v>
      </c>
      <c r="C138" s="491">
        <v>2081.8294275657754</v>
      </c>
      <c r="D138" s="491">
        <v>187.38251890771559</v>
      </c>
      <c r="E138" s="491">
        <v>2269.211946473491</v>
      </c>
      <c r="F138" s="491">
        <v>1.3934264014577267</v>
      </c>
      <c r="G138" s="491">
        <v>3373.7301792201488</v>
      </c>
      <c r="H138" s="491">
        <v>5642.9421256936403</v>
      </c>
      <c r="I138" s="491">
        <v>3.4650904037673413</v>
      </c>
      <c r="J138" s="493">
        <v>-434.9753525154415</v>
      </c>
      <c r="K138" s="493">
        <v>-502.1538469104562</v>
      </c>
    </row>
    <row r="139" spans="1:13" s="488" customFormat="1" ht="15" customHeight="1" x14ac:dyDescent="0.2">
      <c r="A139" s="508">
        <v>44501</v>
      </c>
      <c r="B139" s="490" t="s">
        <v>825</v>
      </c>
      <c r="C139" s="491">
        <v>1416.3878895429973</v>
      </c>
      <c r="D139" s="491">
        <v>171.98444098884718</v>
      </c>
      <c r="E139" s="491">
        <v>1588.3723305318445</v>
      </c>
      <c r="F139" s="491">
        <v>0.95670314267283341</v>
      </c>
      <c r="G139" s="491">
        <v>3168.778926752283</v>
      </c>
      <c r="H139" s="491">
        <v>4757.1512572841275</v>
      </c>
      <c r="I139" s="491">
        <v>2.8653115334046677</v>
      </c>
      <c r="J139" s="493">
        <v>-680.83961594164657</v>
      </c>
      <c r="K139" s="493">
        <v>-885.79086840951277</v>
      </c>
    </row>
    <row r="140" spans="1:13" s="488" customFormat="1" ht="15" customHeight="1" x14ac:dyDescent="0.2">
      <c r="A140" s="508">
        <v>44531</v>
      </c>
      <c r="B140" s="490" t="s">
        <v>825</v>
      </c>
      <c r="C140" s="491">
        <v>2962.4695964893081</v>
      </c>
      <c r="D140" s="491">
        <v>176.75686393053468</v>
      </c>
      <c r="E140" s="491">
        <v>3139.2264604198426</v>
      </c>
      <c r="F140" s="491">
        <v>1.825360966316169</v>
      </c>
      <c r="G140" s="491">
        <v>2983.1674478094747</v>
      </c>
      <c r="H140" s="491">
        <v>6122.3939082293173</v>
      </c>
      <c r="I140" s="491">
        <v>3.5599785493013023</v>
      </c>
      <c r="J140" s="493">
        <v>1550.8541298879982</v>
      </c>
      <c r="K140" s="493">
        <v>1365.2426509451898</v>
      </c>
    </row>
    <row r="141" spans="1:13" s="488" customFormat="1" ht="15" customHeight="1" x14ac:dyDescent="0.2">
      <c r="A141" s="507">
        <v>44562</v>
      </c>
      <c r="B141" s="483" t="s">
        <v>825</v>
      </c>
      <c r="C141" s="485">
        <v>2223.4723573214928</v>
      </c>
      <c r="D141" s="485">
        <v>138.17285337460419</v>
      </c>
      <c r="E141" s="485">
        <v>2361.6452106960969</v>
      </c>
      <c r="F141" s="485">
        <v>1.349177426772785</v>
      </c>
      <c r="G141" s="485">
        <v>3173.7135534775734</v>
      </c>
      <c r="H141" s="485">
        <v>5535.3587641736704</v>
      </c>
      <c r="I141" s="485">
        <v>3.1622790162925285</v>
      </c>
      <c r="J141" s="487">
        <v>-777.58124972374571</v>
      </c>
      <c r="K141" s="487">
        <v>-587.03514405564692</v>
      </c>
      <c r="L141" s="510"/>
      <c r="M141" s="511"/>
    </row>
    <row r="142" spans="1:13" s="488" customFormat="1" ht="15" customHeight="1" x14ac:dyDescent="0.2">
      <c r="A142" s="507">
        <v>44593</v>
      </c>
      <c r="B142" s="483" t="s">
        <v>825</v>
      </c>
      <c r="C142" s="485">
        <v>2116.6039420558541</v>
      </c>
      <c r="D142" s="485">
        <v>194.64652487616706</v>
      </c>
      <c r="E142" s="485">
        <v>2311.250466932021</v>
      </c>
      <c r="F142" s="485">
        <v>1.3085727579180908</v>
      </c>
      <c r="G142" s="485">
        <v>3265.2851286322812</v>
      </c>
      <c r="H142" s="485">
        <v>5576.5355955643026</v>
      </c>
      <c r="I142" s="485">
        <v>3.1572963070516979</v>
      </c>
      <c r="J142" s="487">
        <v>-50.394743764075884</v>
      </c>
      <c r="K142" s="487">
        <v>41.176831390632287</v>
      </c>
      <c r="L142" s="510"/>
      <c r="M142" s="511"/>
    </row>
    <row r="143" spans="1:13" s="488" customFormat="1" ht="15" customHeight="1" x14ac:dyDescent="0.2">
      <c r="A143" s="507">
        <v>44621</v>
      </c>
      <c r="B143" s="483" t="s">
        <v>825</v>
      </c>
      <c r="C143" s="485">
        <v>1891.6050867525835</v>
      </c>
      <c r="D143" s="485">
        <v>24.932356287357859</v>
      </c>
      <c r="E143" s="485">
        <v>1916.5374430399413</v>
      </c>
      <c r="F143" s="485">
        <v>1.0824059643283734</v>
      </c>
      <c r="G143" s="485">
        <v>3441.0625232810071</v>
      </c>
      <c r="H143" s="485">
        <v>5357.5999663209486</v>
      </c>
      <c r="I143" s="485">
        <v>3.0258204341851891</v>
      </c>
      <c r="J143" s="487">
        <v>-394.71302389207972</v>
      </c>
      <c r="K143" s="487">
        <v>-218.93562924335401</v>
      </c>
      <c r="L143" s="510"/>
      <c r="M143" s="511"/>
    </row>
    <row r="144" spans="1:13" s="488" customFormat="1" ht="15" customHeight="1" x14ac:dyDescent="0.2">
      <c r="A144" s="507">
        <v>44652</v>
      </c>
      <c r="B144" s="483" t="s">
        <v>825</v>
      </c>
      <c r="C144" s="485">
        <v>1807.306902527097</v>
      </c>
      <c r="D144" s="485">
        <v>4.1396511757788508</v>
      </c>
      <c r="E144" s="485">
        <v>1811.4465537028759</v>
      </c>
      <c r="F144" s="485">
        <v>1.0234735030700519</v>
      </c>
      <c r="G144" s="485">
        <v>3537.9219309012342</v>
      </c>
      <c r="H144" s="485">
        <v>5349.3684846041106</v>
      </c>
      <c r="I144" s="485">
        <v>3.0223449655884216</v>
      </c>
      <c r="J144" s="487">
        <v>-105.09088933706539</v>
      </c>
      <c r="K144" s="487">
        <v>-8.2314817168380614</v>
      </c>
      <c r="L144" s="510"/>
      <c r="M144" s="511"/>
    </row>
    <row r="145" spans="1:13" s="488" customFormat="1" ht="15" customHeight="1" x14ac:dyDescent="0.2">
      <c r="A145" s="507">
        <v>44682</v>
      </c>
      <c r="B145" s="483" t="s">
        <v>825</v>
      </c>
      <c r="C145" s="485">
        <v>1874.2480899256996</v>
      </c>
      <c r="D145" s="485">
        <v>12.302685341667587</v>
      </c>
      <c r="E145" s="485">
        <v>1886.550775267367</v>
      </c>
      <c r="F145" s="485">
        <v>1.0738038041307711</v>
      </c>
      <c r="G145" s="485">
        <v>3698.3164896820831</v>
      </c>
      <c r="H145" s="485">
        <v>5584.8672649494501</v>
      </c>
      <c r="I145" s="485">
        <v>3.1787521813525621</v>
      </c>
      <c r="J145" s="487">
        <v>75.104221564491127</v>
      </c>
      <c r="K145" s="487">
        <v>235.49878034533958</v>
      </c>
      <c r="L145" s="510"/>
      <c r="M145" s="511"/>
    </row>
    <row r="146" spans="1:13" s="488" customFormat="1" ht="15" customHeight="1" x14ac:dyDescent="0.2">
      <c r="A146" s="507">
        <v>44713</v>
      </c>
      <c r="B146" s="483" t="s">
        <v>825</v>
      </c>
      <c r="C146" s="485">
        <v>1850.2362436224998</v>
      </c>
      <c r="D146" s="485">
        <v>3.869044988387738</v>
      </c>
      <c r="E146" s="485">
        <v>1854.1052886108876</v>
      </c>
      <c r="F146" s="485">
        <v>1.0774633767536721</v>
      </c>
      <c r="G146" s="485">
        <v>3666.6446587256596</v>
      </c>
      <c r="H146" s="485">
        <v>5520.7499473365469</v>
      </c>
      <c r="I146" s="485">
        <v>3.208115829956856</v>
      </c>
      <c r="J146" s="487">
        <v>-32.445486656479488</v>
      </c>
      <c r="K146" s="487">
        <v>-64.117317612903207</v>
      </c>
      <c r="L146" s="510"/>
      <c r="M146" s="511"/>
    </row>
    <row r="147" spans="1:13" s="488" customFormat="1" ht="15" customHeight="1" x14ac:dyDescent="0.2">
      <c r="A147" s="507">
        <v>44743</v>
      </c>
      <c r="B147" s="483" t="s">
        <v>825</v>
      </c>
      <c r="C147" s="485">
        <v>1810.9453451410814</v>
      </c>
      <c r="D147" s="485">
        <v>5.7821537837028822</v>
      </c>
      <c r="E147" s="485">
        <v>1816.7274989247842</v>
      </c>
      <c r="F147" s="485">
        <v>1.0778033017181015</v>
      </c>
      <c r="G147" s="485">
        <v>4042.0332282920099</v>
      </c>
      <c r="H147" s="485">
        <v>5858.7607272167943</v>
      </c>
      <c r="I147" s="485">
        <v>3.4757376865227436</v>
      </c>
      <c r="J147" s="487">
        <v>-37.37778968610337</v>
      </c>
      <c r="K147" s="487">
        <v>338.01077988024736</v>
      </c>
      <c r="L147" s="510"/>
      <c r="M147" s="511"/>
    </row>
    <row r="148" spans="1:13" s="488" customFormat="1" ht="15" customHeight="1" x14ac:dyDescent="0.2">
      <c r="A148" s="507">
        <v>44774</v>
      </c>
      <c r="B148" s="483" t="s">
        <v>825</v>
      </c>
      <c r="C148" s="485">
        <v>1703.5587080981998</v>
      </c>
      <c r="D148" s="485">
        <v>13.767837032795418</v>
      </c>
      <c r="E148" s="485">
        <v>1717.3265451309951</v>
      </c>
      <c r="F148" s="485">
        <v>1.0290493911691403</v>
      </c>
      <c r="G148" s="485">
        <v>4003.3722626169392</v>
      </c>
      <c r="H148" s="485">
        <v>5720.6988077479346</v>
      </c>
      <c r="I148" s="485">
        <v>3.4278609557269211</v>
      </c>
      <c r="J148" s="487">
        <v>-99.400953793789085</v>
      </c>
      <c r="K148" s="487">
        <v>-138.06191946885974</v>
      </c>
      <c r="L148" s="510"/>
      <c r="M148" s="511"/>
    </row>
    <row r="149" spans="1:13" s="488" customFormat="1" ht="15" customHeight="1" x14ac:dyDescent="0.2">
      <c r="A149" s="507">
        <v>44805</v>
      </c>
      <c r="B149" s="483" t="s">
        <v>825</v>
      </c>
      <c r="C149" s="485">
        <v>1751.3212191267432</v>
      </c>
      <c r="D149" s="485">
        <v>27.196850556131167</v>
      </c>
      <c r="E149" s="485">
        <v>1778.5180696828745</v>
      </c>
      <c r="F149" s="485">
        <v>1.0787322130171086</v>
      </c>
      <c r="G149" s="485">
        <v>4203.0518082616509</v>
      </c>
      <c r="H149" s="485">
        <v>5981.5698779445256</v>
      </c>
      <c r="I149" s="485">
        <v>3.6279535747240761</v>
      </c>
      <c r="J149" s="487">
        <v>61.191524551879411</v>
      </c>
      <c r="K149" s="487">
        <v>260.87107019659106</v>
      </c>
      <c r="L149" s="510"/>
      <c r="M149" s="511"/>
    </row>
    <row r="150" spans="1:13" s="488" customFormat="1" ht="15" customHeight="1" x14ac:dyDescent="0.2">
      <c r="A150" s="507">
        <v>44835</v>
      </c>
      <c r="B150" s="483" t="s">
        <v>825</v>
      </c>
      <c r="C150" s="485">
        <v>1672.9165839513034</v>
      </c>
      <c r="D150" s="485">
        <v>32.422251727277732</v>
      </c>
      <c r="E150" s="485">
        <v>1705.3388356785811</v>
      </c>
      <c r="F150" s="485">
        <v>1.0534109785743637</v>
      </c>
      <c r="G150" s="485">
        <v>4126.8157892179988</v>
      </c>
      <c r="H150" s="485">
        <v>5832.1546248965797</v>
      </c>
      <c r="I150" s="485">
        <v>3.6025988235106832</v>
      </c>
      <c r="J150" s="487">
        <v>-73.179234004293448</v>
      </c>
      <c r="K150" s="487">
        <v>-149.41525304794595</v>
      </c>
      <c r="L150" s="510"/>
      <c r="M150" s="511"/>
    </row>
    <row r="151" spans="1:13" s="488" customFormat="1" ht="15" customHeight="1" x14ac:dyDescent="0.2">
      <c r="A151" s="507">
        <v>44866</v>
      </c>
      <c r="B151" s="483" t="s">
        <v>825</v>
      </c>
      <c r="C151" s="485">
        <v>1764.8146541854205</v>
      </c>
      <c r="D151" s="485">
        <v>40.839637614593009</v>
      </c>
      <c r="E151" s="485">
        <v>1805.6542918000134</v>
      </c>
      <c r="F151" s="485">
        <v>1.134062153935524</v>
      </c>
      <c r="G151" s="485">
        <v>3958.0259743665542</v>
      </c>
      <c r="H151" s="485">
        <v>5763.6802661665679</v>
      </c>
      <c r="I151" s="485">
        <v>3.6199428106520997</v>
      </c>
      <c r="J151" s="487">
        <v>100.31545612143236</v>
      </c>
      <c r="K151" s="487">
        <v>-68.474358730011772</v>
      </c>
      <c r="L151" s="510"/>
      <c r="M151" s="511"/>
    </row>
    <row r="152" spans="1:13" s="488" customFormat="1" ht="15" customHeight="1" x14ac:dyDescent="0.2">
      <c r="A152" s="507">
        <v>44896</v>
      </c>
      <c r="B152" s="483" t="s">
        <v>825</v>
      </c>
      <c r="C152" s="485">
        <v>1858.453413786234</v>
      </c>
      <c r="D152" s="485">
        <v>39.155946163146155</v>
      </c>
      <c r="E152" s="485">
        <v>1897.6093599493802</v>
      </c>
      <c r="F152" s="485">
        <v>1.2449468506967936</v>
      </c>
      <c r="G152" s="485">
        <v>3975.9086786803368</v>
      </c>
      <c r="H152" s="485">
        <v>5873.518038629717</v>
      </c>
      <c r="I152" s="485">
        <v>3.8533805806878716</v>
      </c>
      <c r="J152" s="487">
        <v>91.955068149366753</v>
      </c>
      <c r="K152" s="487">
        <v>109.83777246314912</v>
      </c>
      <c r="L152" s="510"/>
      <c r="M152" s="510"/>
    </row>
    <row r="153" spans="1:13" s="488" customFormat="1" ht="15" customHeight="1" x14ac:dyDescent="0.2">
      <c r="A153" s="508">
        <v>44927</v>
      </c>
      <c r="B153" s="490" t="s">
        <v>825</v>
      </c>
      <c r="C153" s="491">
        <v>2088.2451022766709</v>
      </c>
      <c r="D153" s="491">
        <v>32.989299374882641</v>
      </c>
      <c r="E153" s="491">
        <v>2121.2344016515535</v>
      </c>
      <c r="F153" s="491">
        <v>1.4336716666642775</v>
      </c>
      <c r="G153" s="491">
        <v>4252.349250536904</v>
      </c>
      <c r="H153" s="491">
        <v>6373.5836521884576</v>
      </c>
      <c r="I153" s="491">
        <v>4.3076893690862539</v>
      </c>
      <c r="J153" s="493">
        <v>223.62504170217335</v>
      </c>
      <c r="K153" s="493">
        <v>500.06561355874055</v>
      </c>
      <c r="L153" s="510"/>
      <c r="M153" s="510"/>
    </row>
    <row r="154" spans="1:13" s="488" customFormat="1" ht="15" customHeight="1" x14ac:dyDescent="0.2">
      <c r="A154" s="508">
        <v>44958</v>
      </c>
      <c r="B154" s="490" t="s">
        <v>825</v>
      </c>
      <c r="C154" s="491">
        <v>2168.3007694674639</v>
      </c>
      <c r="D154" s="491">
        <v>51.12942389961281</v>
      </c>
      <c r="E154" s="491">
        <v>2219.4301933670768</v>
      </c>
      <c r="F154" s="491">
        <v>1.57563988832054</v>
      </c>
      <c r="G154" s="491">
        <v>4127.2012506332012</v>
      </c>
      <c r="H154" s="491">
        <v>6346.631444000278</v>
      </c>
      <c r="I154" s="491">
        <v>4.5056601166783707</v>
      </c>
      <c r="J154" s="493">
        <v>98.195791715523228</v>
      </c>
      <c r="K154" s="493">
        <v>-26.952208188179611</v>
      </c>
      <c r="L154" s="510"/>
      <c r="M154" s="510"/>
    </row>
    <row r="155" spans="1:13" s="488" customFormat="1" ht="15" customHeight="1" x14ac:dyDescent="0.2">
      <c r="A155" s="508">
        <v>44986</v>
      </c>
      <c r="B155" s="490" t="s">
        <v>825</v>
      </c>
      <c r="C155" s="491">
        <v>2462.2797974535929</v>
      </c>
      <c r="D155" s="491">
        <v>231.98748421150083</v>
      </c>
      <c r="E155" s="491">
        <v>2694.2672816650938</v>
      </c>
      <c r="F155" s="491">
        <v>1.9554700258183237</v>
      </c>
      <c r="G155" s="491">
        <v>4135.0003152433601</v>
      </c>
      <c r="H155" s="491">
        <v>6829.2675969084539</v>
      </c>
      <c r="I155" s="491">
        <v>4.9566084905257055</v>
      </c>
      <c r="J155" s="493">
        <v>474.83708829801708</v>
      </c>
      <c r="K155" s="493">
        <v>482.63615290817597</v>
      </c>
      <c r="L155" s="510"/>
      <c r="M155" s="510"/>
    </row>
    <row r="156" spans="1:13" s="488" customFormat="1" ht="15" customHeight="1" x14ac:dyDescent="0.2">
      <c r="A156" s="508">
        <v>45017</v>
      </c>
      <c r="B156" s="490" t="s">
        <v>825</v>
      </c>
      <c r="C156" s="491">
        <v>2645.2298601492066</v>
      </c>
      <c r="D156" s="491">
        <v>115.35275348801491</v>
      </c>
      <c r="E156" s="491">
        <v>2760.5826136372216</v>
      </c>
      <c r="F156" s="491">
        <v>2.0365836036668932</v>
      </c>
      <c r="G156" s="491">
        <v>4481.992305005575</v>
      </c>
      <c r="H156" s="491">
        <v>7242.5749186427965</v>
      </c>
      <c r="I156" s="491">
        <v>5.343114621809093</v>
      </c>
      <c r="J156" s="493">
        <v>66.315331972127751</v>
      </c>
      <c r="K156" s="493">
        <v>413.30732173434262</v>
      </c>
      <c r="L156" s="510"/>
      <c r="M156" s="510"/>
    </row>
    <row r="157" spans="1:13" s="488" customFormat="1" ht="15" customHeight="1" x14ac:dyDescent="0.2">
      <c r="A157" s="508">
        <v>45047</v>
      </c>
      <c r="B157" s="490" t="s">
        <v>825</v>
      </c>
      <c r="C157" s="491">
        <v>3036.2895991810587</v>
      </c>
      <c r="D157" s="491">
        <v>454.97571942504271</v>
      </c>
      <c r="E157" s="491">
        <v>3491.2653186061016</v>
      </c>
      <c r="F157" s="491">
        <v>2.5732936923309224</v>
      </c>
      <c r="G157" s="491">
        <v>4173.5955222135326</v>
      </c>
      <c r="H157" s="491">
        <v>7664.8608408196342</v>
      </c>
      <c r="I157" s="491">
        <v>5.6495099209905648</v>
      </c>
      <c r="J157" s="493">
        <v>730.68270496887999</v>
      </c>
      <c r="K157" s="493">
        <v>422.28592217683763</v>
      </c>
      <c r="L157" s="510"/>
      <c r="M157" s="510"/>
    </row>
    <row r="158" spans="1:13" s="488" customFormat="1" ht="15" customHeight="1" x14ac:dyDescent="0.2">
      <c r="A158" s="508">
        <v>45078</v>
      </c>
      <c r="B158" s="490" t="s">
        <v>825</v>
      </c>
      <c r="C158" s="491">
        <v>3108.6040119900081</v>
      </c>
      <c r="D158" s="491">
        <v>615.59422042962149</v>
      </c>
      <c r="E158" s="491">
        <v>3724.1982324196297</v>
      </c>
      <c r="F158" s="491">
        <v>2.7211448451588014</v>
      </c>
      <c r="G158" s="491">
        <v>4321.2712547802603</v>
      </c>
      <c r="H158" s="491">
        <v>8045.46948719989</v>
      </c>
      <c r="I158" s="491">
        <v>5.8785506183306717</v>
      </c>
      <c r="J158" s="493">
        <v>232.9329138135281</v>
      </c>
      <c r="K158" s="493">
        <v>380.60864638025578</v>
      </c>
      <c r="L158" s="510"/>
      <c r="M158" s="510"/>
    </row>
    <row r="159" spans="1:13" s="488" customFormat="1" ht="15" customHeight="1" x14ac:dyDescent="0.2">
      <c r="A159" s="508">
        <v>45108</v>
      </c>
      <c r="B159" s="490" t="s">
        <v>825</v>
      </c>
      <c r="C159" s="491">
        <v>3186.5759000533931</v>
      </c>
      <c r="D159" s="491">
        <v>578.77516089129529</v>
      </c>
      <c r="E159" s="491">
        <v>3765.3510609446885</v>
      </c>
      <c r="F159" s="491">
        <v>2.7344454851837225</v>
      </c>
      <c r="G159" s="491">
        <v>4745.7568006393331</v>
      </c>
      <c r="H159" s="491">
        <v>8511.1078615840215</v>
      </c>
      <c r="I159" s="491">
        <v>6.1808739980226743</v>
      </c>
      <c r="J159" s="493">
        <v>41.152828525058794</v>
      </c>
      <c r="K159" s="493">
        <v>465.63837438413157</v>
      </c>
      <c r="L159" s="510"/>
      <c r="M159" s="510"/>
    </row>
    <row r="160" spans="1:13" s="488" customFormat="1" ht="15" customHeight="1" x14ac:dyDescent="0.2">
      <c r="A160" s="508">
        <v>45139</v>
      </c>
      <c r="B160" s="490" t="s">
        <v>825</v>
      </c>
      <c r="C160" s="491">
        <v>3073.252701574525</v>
      </c>
      <c r="D160" s="491">
        <v>526.61268644962524</v>
      </c>
      <c r="E160" s="491">
        <v>3599.86538802415</v>
      </c>
      <c r="F160" s="491">
        <v>2.6237707728956141</v>
      </c>
      <c r="G160" s="491">
        <v>4932.5525999595211</v>
      </c>
      <c r="H160" s="491">
        <v>8532.4179879836702</v>
      </c>
      <c r="I160" s="491">
        <v>6.2188739094180194</v>
      </c>
      <c r="J160" s="493">
        <v>-165.48567292053849</v>
      </c>
      <c r="K160" s="493">
        <v>21.310126399648652</v>
      </c>
      <c r="L160" s="510"/>
      <c r="M160" s="510"/>
    </row>
    <row r="161" spans="1:13" s="488" customFormat="1" ht="15" customHeight="1" x14ac:dyDescent="0.2">
      <c r="A161" s="508">
        <v>45170</v>
      </c>
      <c r="B161" s="490" t="s">
        <v>825</v>
      </c>
      <c r="C161" s="491">
        <v>3106.0376868726521</v>
      </c>
      <c r="D161" s="491">
        <v>433.91229829722994</v>
      </c>
      <c r="E161" s="491">
        <v>3539.949985169882</v>
      </c>
      <c r="F161" s="491">
        <v>2.5699678508865107</v>
      </c>
      <c r="G161" s="491">
        <v>5169.589129811473</v>
      </c>
      <c r="H161" s="491">
        <v>8709.5391149813549</v>
      </c>
      <c r="I161" s="491">
        <v>6.3230372223652935</v>
      </c>
      <c r="J161" s="493">
        <v>-59.915402854267995</v>
      </c>
      <c r="K161" s="493">
        <v>177.12112699768477</v>
      </c>
      <c r="L161" s="510"/>
      <c r="M161" s="510"/>
    </row>
    <row r="162" spans="1:13" s="488" customFormat="1" ht="15" customHeight="1" x14ac:dyDescent="0.2">
      <c r="A162" s="508">
        <v>45200</v>
      </c>
      <c r="B162" s="490" t="s">
        <v>825</v>
      </c>
      <c r="C162" s="491">
        <v>3302.2505952607071</v>
      </c>
      <c r="D162" s="491">
        <v>266.87023223121508</v>
      </c>
      <c r="E162" s="491">
        <v>3569.1208274919222</v>
      </c>
      <c r="F162" s="491">
        <v>2.5487686680915136</v>
      </c>
      <c r="G162" s="491">
        <v>5054.4413527219895</v>
      </c>
      <c r="H162" s="491">
        <v>8623.5621802139121</v>
      </c>
      <c r="I162" s="491">
        <v>6.1582294785221592</v>
      </c>
      <c r="J162" s="493">
        <v>29.170842322040244</v>
      </c>
      <c r="K162" s="493">
        <v>-85.976934767442799</v>
      </c>
      <c r="L162" s="510"/>
      <c r="M162" s="510"/>
    </row>
    <row r="163" spans="1:13" s="488" customFormat="1" ht="15" customHeight="1" x14ac:dyDescent="0.2">
      <c r="A163" s="508">
        <v>45231</v>
      </c>
      <c r="B163" s="490" t="s">
        <v>825</v>
      </c>
      <c r="C163" s="491">
        <v>3473.0002278954967</v>
      </c>
      <c r="D163" s="491">
        <v>98.482550249983049</v>
      </c>
      <c r="E163" s="491">
        <v>3571.4827781454796</v>
      </c>
      <c r="F163" s="491">
        <v>2.5589617496353121</v>
      </c>
      <c r="G163" s="491">
        <v>4837.2682338792156</v>
      </c>
      <c r="H163" s="491">
        <v>8408.7510120246952</v>
      </c>
      <c r="I163" s="491">
        <v>6.0248567719964301</v>
      </c>
      <c r="J163" s="493">
        <v>2.3619506535574146</v>
      </c>
      <c r="K163" s="493">
        <v>-214.81116818921691</v>
      </c>
      <c r="L163" s="510"/>
      <c r="M163" s="510"/>
    </row>
    <row r="164" spans="1:13" s="488" customFormat="1" ht="15" customHeight="1" x14ac:dyDescent="0.2">
      <c r="A164" s="508">
        <v>45261</v>
      </c>
      <c r="B164" s="490" t="s">
        <v>825</v>
      </c>
      <c r="C164" s="491">
        <v>3516.6426024169609</v>
      </c>
      <c r="D164" s="491">
        <v>875.49985551249335</v>
      </c>
      <c r="E164" s="491">
        <v>4392.1424579294544</v>
      </c>
      <c r="F164" s="491">
        <v>3.135167429297586</v>
      </c>
      <c r="G164" s="491">
        <v>4980.9905522995332</v>
      </c>
      <c r="H164" s="491">
        <v>9373.1330102289867</v>
      </c>
      <c r="I164" s="491">
        <v>6.6906621553430385</v>
      </c>
      <c r="J164" s="493">
        <v>820.65967978397475</v>
      </c>
      <c r="K164" s="493">
        <v>964.38199820429145</v>
      </c>
      <c r="L164" s="510"/>
      <c r="M164" s="510"/>
    </row>
    <row r="165" spans="1:13" s="488" customFormat="1" ht="15" customHeight="1" x14ac:dyDescent="0.2">
      <c r="A165" s="507">
        <v>45292</v>
      </c>
      <c r="B165" s="483" t="s">
        <v>825</v>
      </c>
      <c r="C165" s="485">
        <v>3666.794511271808</v>
      </c>
      <c r="D165" s="485">
        <v>829.02299176856729</v>
      </c>
      <c r="E165" s="485">
        <v>4495.8175030403754</v>
      </c>
      <c r="F165" s="485">
        <v>3.1923816423280633</v>
      </c>
      <c r="G165" s="485">
        <v>4911.4683375128234</v>
      </c>
      <c r="H165" s="485">
        <v>9407.2858405531988</v>
      </c>
      <c r="I165" s="485">
        <v>6.6799078479509744</v>
      </c>
      <c r="J165" s="487">
        <v>103.67504511092102</v>
      </c>
      <c r="K165" s="487">
        <v>34.152830324212118</v>
      </c>
      <c r="L165" s="510"/>
      <c r="M165" s="510"/>
    </row>
    <row r="166" spans="1:13" s="488" customFormat="1" ht="15" customHeight="1" x14ac:dyDescent="0.2">
      <c r="A166" s="507">
        <v>45323</v>
      </c>
      <c r="B166" s="483" t="s">
        <v>825</v>
      </c>
      <c r="C166" s="485">
        <v>3737.971077235266</v>
      </c>
      <c r="D166" s="485">
        <v>782.04940274677153</v>
      </c>
      <c r="E166" s="485">
        <v>4520.0204799820376</v>
      </c>
      <c r="F166" s="485">
        <v>3.1431002584882584</v>
      </c>
      <c r="G166" s="485">
        <v>5102.8611670023474</v>
      </c>
      <c r="H166" s="485">
        <v>9622.8816469843841</v>
      </c>
      <c r="I166" s="485">
        <v>6.6914922014155858</v>
      </c>
      <c r="J166" s="487">
        <v>24.2029769416622</v>
      </c>
      <c r="K166" s="487">
        <v>215.59580643118534</v>
      </c>
      <c r="L166" s="510"/>
      <c r="M166" s="510"/>
    </row>
    <row r="167" spans="1:13" s="488" customFormat="1" ht="15" customHeight="1" x14ac:dyDescent="0.2">
      <c r="A167" s="507">
        <v>45352</v>
      </c>
      <c r="B167" s="483" t="s">
        <v>825</v>
      </c>
      <c r="C167" s="485">
        <v>4262.7997821450845</v>
      </c>
      <c r="D167" s="485">
        <v>697.04622552106912</v>
      </c>
      <c r="E167" s="485">
        <v>4959.846007666154</v>
      </c>
      <c r="F167" s="485">
        <v>3.4373589134241485</v>
      </c>
      <c r="G167" s="485">
        <v>4954.5377039806681</v>
      </c>
      <c r="H167" s="485">
        <v>9914.3837116468221</v>
      </c>
      <c r="I167" s="485">
        <v>6.8710389737225626</v>
      </c>
      <c r="J167" s="487">
        <v>439.82552768411642</v>
      </c>
      <c r="K167" s="487">
        <v>291.50206466243799</v>
      </c>
      <c r="L167" s="510"/>
      <c r="M167" s="510"/>
    </row>
    <row r="168" spans="1:13" s="488" customFormat="1" ht="15" customHeight="1" x14ac:dyDescent="0.2">
      <c r="A168" s="507">
        <v>45383</v>
      </c>
      <c r="B168" s="483" t="s">
        <v>825</v>
      </c>
      <c r="C168" s="485">
        <v>4810.1414742098232</v>
      </c>
      <c r="D168" s="485">
        <v>660.49751291076723</v>
      </c>
      <c r="E168" s="485">
        <v>5470.6389871205902</v>
      </c>
      <c r="F168" s="485">
        <v>3.7904711801060169</v>
      </c>
      <c r="G168" s="485">
        <v>4740.5739084478446</v>
      </c>
      <c r="H168" s="485">
        <v>10211.212895568435</v>
      </c>
      <c r="I168" s="485">
        <v>7.0750982263136271</v>
      </c>
      <c r="J168" s="487">
        <v>510.79297945443614</v>
      </c>
      <c r="K168" s="487">
        <v>296.82918392161264</v>
      </c>
      <c r="L168" s="510"/>
      <c r="M168" s="510"/>
    </row>
    <row r="169" spans="1:13" s="488" customFormat="1" ht="15" customHeight="1" x14ac:dyDescent="0.2">
      <c r="A169" s="507">
        <v>45413</v>
      </c>
      <c r="B169" s="483" t="s">
        <v>825</v>
      </c>
      <c r="C169" s="485">
        <v>4896.8316849927915</v>
      </c>
      <c r="D169" s="485">
        <v>513.38802086973885</v>
      </c>
      <c r="E169" s="485">
        <v>5410.2197058625306</v>
      </c>
      <c r="F169" s="485">
        <v>3.7620037353120868</v>
      </c>
      <c r="G169" s="485">
        <v>4948.6544412942467</v>
      </c>
      <c r="H169" s="485">
        <v>10358.874147156777</v>
      </c>
      <c r="I169" s="485">
        <v>7.2030574272248975</v>
      </c>
      <c r="J169" s="487">
        <v>-60.419281258059527</v>
      </c>
      <c r="K169" s="487">
        <v>147.66125158834257</v>
      </c>
      <c r="L169" s="510"/>
      <c r="M169" s="510"/>
    </row>
    <row r="170" spans="1:13" s="488" customFormat="1" ht="15" customHeight="1" x14ac:dyDescent="0.2">
      <c r="A170" s="507">
        <v>45444</v>
      </c>
      <c r="B170" s="483" t="s">
        <v>825</v>
      </c>
      <c r="C170" s="485">
        <v>4861.5081054840239</v>
      </c>
      <c r="D170" s="485">
        <v>792.97898725715686</v>
      </c>
      <c r="E170" s="485">
        <v>5654.4870927411812</v>
      </c>
      <c r="F170" s="485">
        <v>3.914269248918568</v>
      </c>
      <c r="G170" s="485">
        <v>5112.5687181045214</v>
      </c>
      <c r="H170" s="485">
        <v>10767.055810845703</v>
      </c>
      <c r="I170" s="485">
        <v>7.4534002413563183</v>
      </c>
      <c r="J170" s="487">
        <v>244.26738687865054</v>
      </c>
      <c r="K170" s="487">
        <v>408.18166368892525</v>
      </c>
      <c r="L170" s="510"/>
      <c r="M170" s="510"/>
    </row>
    <row r="171" spans="1:13" s="488" customFormat="1" ht="15" customHeight="1" x14ac:dyDescent="0.2">
      <c r="A171" s="507">
        <v>45474</v>
      </c>
      <c r="B171" s="483" t="s">
        <v>825</v>
      </c>
      <c r="C171" s="485">
        <v>4928.2654155295204</v>
      </c>
      <c r="D171" s="485">
        <v>724.12991731431555</v>
      </c>
      <c r="E171" s="485">
        <v>5652.3953328438356</v>
      </c>
      <c r="F171" s="485">
        <v>3.8361284717169193</v>
      </c>
      <c r="G171" s="485">
        <v>5294.6149381785135</v>
      </c>
      <c r="H171" s="485">
        <v>10947.010271022349</v>
      </c>
      <c r="I171" s="485">
        <v>7.4294410259726602</v>
      </c>
      <c r="J171" s="487">
        <v>-2.0917598973455824</v>
      </c>
      <c r="K171" s="487">
        <v>179.95446017664653</v>
      </c>
      <c r="L171" s="510"/>
      <c r="M171" s="510"/>
    </row>
    <row r="172" spans="1:13" s="488" customFormat="1" ht="15" customHeight="1" x14ac:dyDescent="0.2">
      <c r="A172" s="507">
        <v>45505</v>
      </c>
      <c r="B172" s="483" t="s">
        <v>825</v>
      </c>
      <c r="C172" s="485">
        <v>5206.0329395074041</v>
      </c>
      <c r="D172" s="485">
        <v>753.03892572717268</v>
      </c>
      <c r="E172" s="485">
        <v>5959.0718652345768</v>
      </c>
      <c r="F172" s="485">
        <v>3.9927742392055507</v>
      </c>
      <c r="G172" s="485">
        <v>5184.0550628190649</v>
      </c>
      <c r="H172" s="485">
        <v>11143.126928053642</v>
      </c>
      <c r="I172" s="485">
        <v>7.4662617180534463</v>
      </c>
      <c r="J172" s="487">
        <v>306.67653239074116</v>
      </c>
      <c r="K172" s="487">
        <v>196.11665703129256</v>
      </c>
      <c r="L172" s="510"/>
      <c r="M172" s="510"/>
    </row>
    <row r="173" spans="1:13" s="488" customFormat="1" ht="15" customHeight="1" x14ac:dyDescent="0.2">
      <c r="A173" s="507">
        <v>45536</v>
      </c>
      <c r="B173" s="483" t="s">
        <v>825</v>
      </c>
      <c r="C173" s="485">
        <v>5316.4545165348318</v>
      </c>
      <c r="D173" s="485">
        <v>677.4372068422432</v>
      </c>
      <c r="E173" s="485">
        <v>5993.8917233770753</v>
      </c>
      <c r="F173" s="485">
        <v>3.9507084048618686</v>
      </c>
      <c r="G173" s="485">
        <v>5260.1688464593899</v>
      </c>
      <c r="H173" s="485">
        <v>11254.060569836465</v>
      </c>
      <c r="I173" s="485">
        <v>7.4178036130801166</v>
      </c>
      <c r="J173" s="487">
        <v>34.81985814249856</v>
      </c>
      <c r="K173" s="487">
        <v>110.93364178282354</v>
      </c>
      <c r="L173" s="510"/>
      <c r="M173" s="510"/>
    </row>
    <row r="174" spans="1:13" s="488" customFormat="1" ht="15" customHeight="1" x14ac:dyDescent="0.2">
      <c r="A174" s="507">
        <v>45566</v>
      </c>
      <c r="B174" s="483" t="s">
        <v>825</v>
      </c>
      <c r="C174" s="485">
        <v>5479.2673165484075</v>
      </c>
      <c r="D174" s="485">
        <v>992.95320865920939</v>
      </c>
      <c r="E174" s="485">
        <v>6472.2205252076164</v>
      </c>
      <c r="F174" s="485">
        <v>4.2445615780378727</v>
      </c>
      <c r="G174" s="485">
        <v>5152.7877480139941</v>
      </c>
      <c r="H174" s="485">
        <v>11625.008273221611</v>
      </c>
      <c r="I174" s="485">
        <v>7.6238229628781093</v>
      </c>
      <c r="J174" s="487">
        <v>478.32880183054112</v>
      </c>
      <c r="K174" s="487">
        <v>370.94770338514536</v>
      </c>
      <c r="L174" s="510"/>
      <c r="M174" s="510"/>
    </row>
    <row r="175" spans="1:13" s="488" customFormat="1" ht="15" customHeight="1" x14ac:dyDescent="0.2">
      <c r="A175" s="507">
        <v>45597</v>
      </c>
      <c r="B175" s="483" t="s">
        <v>825</v>
      </c>
      <c r="C175" s="485">
        <v>5588.611167706933</v>
      </c>
      <c r="D175" s="485">
        <v>862.46533985148403</v>
      </c>
      <c r="E175" s="485">
        <v>6451.0765075584168</v>
      </c>
      <c r="F175" s="485">
        <v>4.2059633345526599</v>
      </c>
      <c r="G175" s="485">
        <v>5109.1243995401746</v>
      </c>
      <c r="H175" s="485">
        <v>11560.200907098591</v>
      </c>
      <c r="I175" s="485">
        <v>7.5370027154927195</v>
      </c>
      <c r="J175" s="487">
        <v>-21.144017649199668</v>
      </c>
      <c r="K175" s="487">
        <v>-64.807366123019165</v>
      </c>
      <c r="L175" s="510"/>
      <c r="M175" s="510"/>
    </row>
    <row r="176" spans="1:13" s="488" customFormat="1" ht="15" customHeight="1" x14ac:dyDescent="0.2">
      <c r="A176" s="507">
        <v>45627</v>
      </c>
      <c r="B176" s="483" t="s">
        <v>825</v>
      </c>
      <c r="C176" s="485">
        <v>5754.0900513009383</v>
      </c>
      <c r="D176" s="485">
        <v>367.88896994828474</v>
      </c>
      <c r="E176" s="485">
        <v>6121.9790212492226</v>
      </c>
      <c r="F176" s="485">
        <v>3.8990568651573865</v>
      </c>
      <c r="G176" s="485">
        <v>5108.0124582341505</v>
      </c>
      <c r="H176" s="485">
        <v>11229.991479483373</v>
      </c>
      <c r="I176" s="485">
        <v>7.1523236557585843</v>
      </c>
      <c r="J176" s="487">
        <v>-329.09748630919421</v>
      </c>
      <c r="K176" s="487">
        <v>-330.20942761521837</v>
      </c>
      <c r="L176" s="510"/>
      <c r="M176" s="510"/>
    </row>
    <row r="177" spans="1:13" s="488" customFormat="1" ht="15" customHeight="1" x14ac:dyDescent="0.2">
      <c r="A177" s="508">
        <v>45658</v>
      </c>
      <c r="B177" s="490" t="s">
        <v>825</v>
      </c>
      <c r="C177" s="491">
        <v>5778.645793065506</v>
      </c>
      <c r="D177" s="491">
        <v>286.82943791602719</v>
      </c>
      <c r="E177" s="491">
        <v>6065.4752309815331</v>
      </c>
      <c r="F177" s="491">
        <v>3.8077489609545894</v>
      </c>
      <c r="G177" s="491">
        <v>5544.6570882860806</v>
      </c>
      <c r="H177" s="491">
        <v>11610.132319267614</v>
      </c>
      <c r="I177" s="491">
        <v>7.2885417204288219</v>
      </c>
      <c r="J177" s="493">
        <v>-56.50379026768951</v>
      </c>
      <c r="K177" s="493">
        <v>380.1408397842406</v>
      </c>
      <c r="L177" s="510"/>
      <c r="M177" s="510"/>
    </row>
    <row r="178" spans="1:13" s="488" customFormat="1" ht="15" customHeight="1" x14ac:dyDescent="0.2">
      <c r="A178" s="508">
        <v>45689</v>
      </c>
      <c r="B178" s="490" t="s">
        <v>825</v>
      </c>
      <c r="C178" s="491">
        <v>5881.9183942637483</v>
      </c>
      <c r="D178" s="491">
        <v>204.25420204207742</v>
      </c>
      <c r="E178" s="491">
        <v>6086.1725963058261</v>
      </c>
      <c r="F178" s="491">
        <v>3.8036724095088412</v>
      </c>
      <c r="G178" s="491">
        <v>5552.1176071660266</v>
      </c>
      <c r="H178" s="491">
        <v>11638.290203471854</v>
      </c>
      <c r="I178" s="491">
        <v>7.2735767249967225</v>
      </c>
      <c r="J178" s="493">
        <v>20.69736532429306</v>
      </c>
      <c r="K178" s="493">
        <v>28.157884204239963</v>
      </c>
      <c r="L178" s="510"/>
      <c r="M178" s="510"/>
    </row>
    <row r="179" spans="1:13" s="488" customFormat="1" ht="15" customHeight="1" x14ac:dyDescent="0.2">
      <c r="A179" s="508">
        <v>45717</v>
      </c>
      <c r="B179" s="490" t="s">
        <v>825</v>
      </c>
      <c r="C179" s="491">
        <v>6193.6380980428003</v>
      </c>
      <c r="D179" s="491">
        <v>336.92094951286873</v>
      </c>
      <c r="E179" s="491">
        <v>6530.5590475556692</v>
      </c>
      <c r="F179" s="491">
        <v>4.0540354916315149</v>
      </c>
      <c r="G179" s="491">
        <v>5823.9685896875035</v>
      </c>
      <c r="H179" s="491">
        <v>12354.527637243173</v>
      </c>
      <c r="I179" s="491">
        <v>7.6694342948285419</v>
      </c>
      <c r="J179" s="493">
        <v>444.38645124984305</v>
      </c>
      <c r="K179" s="493">
        <v>716.23743377131905</v>
      </c>
      <c r="L179" s="510"/>
      <c r="M179" s="510"/>
    </row>
    <row r="180" spans="1:13" s="488" customFormat="1" ht="15" customHeight="1" x14ac:dyDescent="0.2">
      <c r="A180" s="508">
        <v>45748</v>
      </c>
      <c r="B180" s="490" t="s">
        <v>825</v>
      </c>
      <c r="C180" s="491">
        <v>6170.3897913975497</v>
      </c>
      <c r="D180" s="491">
        <v>156.56878403283736</v>
      </c>
      <c r="E180" s="491">
        <v>6326.9585754303871</v>
      </c>
      <c r="F180" s="491">
        <v>3.8773701257713471</v>
      </c>
      <c r="G180" s="491">
        <v>6047.9850969461877</v>
      </c>
      <c r="H180" s="491">
        <v>12374.943672376576</v>
      </c>
      <c r="I180" s="491">
        <v>7.5837760483696766</v>
      </c>
      <c r="J180" s="493">
        <v>-203.60047212528207</v>
      </c>
      <c r="K180" s="493">
        <v>20.416035133403057</v>
      </c>
      <c r="L180" s="510"/>
      <c r="M180" s="510"/>
    </row>
    <row r="181" spans="1:13" s="488" customFormat="1" ht="15" customHeight="1" x14ac:dyDescent="0.2">
      <c r="A181" s="508">
        <v>45778</v>
      </c>
      <c r="B181" s="490" t="s">
        <v>825</v>
      </c>
      <c r="C181" s="491">
        <v>6135.0374806296322</v>
      </c>
      <c r="D181" s="491">
        <v>150.79667351810534</v>
      </c>
      <c r="E181" s="491">
        <v>6285.8341541477375</v>
      </c>
      <c r="F181" s="491">
        <v>3.8320937327778282</v>
      </c>
      <c r="G181" s="491">
        <v>5695.3817172525505</v>
      </c>
      <c r="H181" s="491">
        <v>11981.215871400287</v>
      </c>
      <c r="I181" s="491">
        <v>7.3042242486711615</v>
      </c>
      <c r="J181" s="493">
        <v>-41.1244212826496</v>
      </c>
      <c r="K181" s="493">
        <v>-393.72780097628856</v>
      </c>
      <c r="L181" s="510"/>
      <c r="M181" s="510"/>
    </row>
    <row r="182" spans="1:13" s="488" customFormat="1" ht="15" customHeight="1" x14ac:dyDescent="0.2">
      <c r="A182" s="508">
        <v>45809</v>
      </c>
      <c r="B182" s="490" t="s">
        <v>825</v>
      </c>
      <c r="C182" s="491">
        <v>5906.7540847917253</v>
      </c>
      <c r="D182" s="491">
        <v>174.61599689889636</v>
      </c>
      <c r="E182" s="491">
        <v>6081.3700816906221</v>
      </c>
      <c r="F182" s="491">
        <v>3.663617515442243</v>
      </c>
      <c r="G182" s="491">
        <v>5670.4216741637119</v>
      </c>
      <c r="H182" s="491">
        <v>11751.791755854334</v>
      </c>
      <c r="I182" s="491">
        <v>7.0796661831520451</v>
      </c>
      <c r="J182" s="493">
        <v>-204.46407245711544</v>
      </c>
      <c r="K182" s="493">
        <v>-229.4241155459531</v>
      </c>
      <c r="L182" s="510"/>
      <c r="M182" s="510"/>
    </row>
    <row r="183" spans="1:13" s="488" customFormat="1" ht="15" customHeight="1" x14ac:dyDescent="0.2">
      <c r="A183" s="508">
        <v>45839</v>
      </c>
      <c r="B183" s="490"/>
      <c r="C183" s="491">
        <v>5834.4615817475442</v>
      </c>
      <c r="D183" s="491">
        <v>312.42636574778493</v>
      </c>
      <c r="E183" s="491">
        <v>6146.8879474953292</v>
      </c>
      <c r="F183" s="491">
        <v>3.6757582085360343</v>
      </c>
      <c r="G183" s="491">
        <v>5519.3602312863204</v>
      </c>
      <c r="H183" s="491">
        <v>11666.24817878165</v>
      </c>
      <c r="I183" s="491">
        <v>6.976263089918282</v>
      </c>
      <c r="J183" s="493">
        <f t="shared" ref="J183:J192" si="20">+E183-E182</f>
        <v>65.517865804707071</v>
      </c>
      <c r="K183" s="493">
        <f>+H183-H182</f>
        <v>-85.543577072683547</v>
      </c>
      <c r="L183" s="510"/>
      <c r="M183" s="510"/>
    </row>
    <row r="184" spans="1:13" s="488" customFormat="1" ht="15" customHeight="1" x14ac:dyDescent="0.2">
      <c r="A184" s="508">
        <v>45870</v>
      </c>
      <c r="B184" s="490"/>
      <c r="C184" s="491">
        <v>6007.8005545344149</v>
      </c>
      <c r="D184" s="491">
        <v>169.94353518199082</v>
      </c>
      <c r="E184" s="491">
        <v>6177.7440897164061</v>
      </c>
      <c r="F184" s="491">
        <v>3.686409939177302</v>
      </c>
      <c r="G184" s="491">
        <v>5741.4689788008927</v>
      </c>
      <c r="H184" s="491">
        <v>11919.2130685173</v>
      </c>
      <c r="I184" s="491">
        <v>7.1124839237183775</v>
      </c>
      <c r="J184" s="493">
        <f t="shared" si="20"/>
        <v>30.85614222107688</v>
      </c>
      <c r="K184" s="493">
        <f>+H184-H183</f>
        <v>252.96488973564919</v>
      </c>
      <c r="L184" s="510"/>
      <c r="M184" s="510"/>
    </row>
    <row r="185" spans="1:13" s="488" customFormat="1" ht="15" customHeight="1" x14ac:dyDescent="0.2">
      <c r="A185" s="508">
        <v>45901</v>
      </c>
      <c r="B185" s="490"/>
      <c r="C185" s="491">
        <v>6110.954205331399</v>
      </c>
      <c r="D185" s="491">
        <v>132.66281224534441</v>
      </c>
      <c r="E185" s="491">
        <v>6243.6170175767438</v>
      </c>
      <c r="F185" s="491">
        <v>3.6525474173542589</v>
      </c>
      <c r="G185" s="491">
        <v>5418.1086180486445</v>
      </c>
      <c r="H185" s="491">
        <v>11661.725635625389</v>
      </c>
      <c r="I185" s="491">
        <v>6.8221682611835357</v>
      </c>
      <c r="J185" s="493">
        <f t="shared" si="20"/>
        <v>65.872927860337768</v>
      </c>
      <c r="K185" s="493">
        <f>+H185-H184</f>
        <v>-257.48743289191043</v>
      </c>
      <c r="L185" s="510"/>
      <c r="M185" s="510"/>
    </row>
    <row r="186" spans="1:13" s="488" customFormat="1" ht="15" customHeight="1" x14ac:dyDescent="0.2">
      <c r="A186" s="508">
        <v>45931</v>
      </c>
      <c r="B186" s="490"/>
      <c r="C186" s="491">
        <v>6074.678223289513</v>
      </c>
      <c r="D186" s="491">
        <v>141.80183750671355</v>
      </c>
      <c r="E186" s="491">
        <v>6216.4800607962261</v>
      </c>
      <c r="F186" s="491">
        <v>3.5578617802669426</v>
      </c>
      <c r="G186" s="491">
        <v>5313.4929986339703</v>
      </c>
      <c r="H186" s="491">
        <v>11529.973059430196</v>
      </c>
      <c r="I186" s="491">
        <v>6.5989193360977287</v>
      </c>
      <c r="J186" s="493">
        <f t="shared" si="20"/>
        <v>-27.136956780517721</v>
      </c>
      <c r="K186" s="493">
        <f>+H186-H185</f>
        <v>-131.75257619519289</v>
      </c>
      <c r="L186" s="510"/>
      <c r="M186" s="510"/>
    </row>
    <row r="187" spans="1:13" s="488" customFormat="1" ht="15" customHeight="1" x14ac:dyDescent="0.2">
      <c r="A187" s="508">
        <v>45962</v>
      </c>
      <c r="B187" s="490"/>
      <c r="C187" s="491">
        <v>5927.7647052350912</v>
      </c>
      <c r="D187" s="491">
        <v>106.24244385912624</v>
      </c>
      <c r="E187" s="491">
        <v>6034.0071490942173</v>
      </c>
      <c r="F187" s="491">
        <v>3.4075657718029975</v>
      </c>
      <c r="G187" s="491">
        <v>5243.1057635005591</v>
      </c>
      <c r="H187" s="491">
        <v>11277.112912594777</v>
      </c>
      <c r="I187" s="491">
        <v>6.3684883057329547</v>
      </c>
      <c r="J187" s="493">
        <f t="shared" si="20"/>
        <v>-182.47291170200879</v>
      </c>
      <c r="K187" s="493">
        <f t="shared" ref="K187" si="21">+H187-H186</f>
        <v>-252.86014683541907</v>
      </c>
      <c r="L187" s="510"/>
      <c r="M187" s="510"/>
    </row>
    <row r="188" spans="1:13" s="488" customFormat="1" ht="15" customHeight="1" x14ac:dyDescent="0.2">
      <c r="A188" s="508">
        <v>45992</v>
      </c>
      <c r="B188" s="490"/>
      <c r="C188" s="491">
        <v>6306.8583148528978</v>
      </c>
      <c r="D188" s="491">
        <v>531.21690804840352</v>
      </c>
      <c r="E188" s="491">
        <v>6838.0752229013015</v>
      </c>
      <c r="F188" s="491">
        <v>3.8201643813749908</v>
      </c>
      <c r="G188" s="491">
        <v>5467.4637025802049</v>
      </c>
      <c r="H188" s="491">
        <v>12305.538925481505</v>
      </c>
      <c r="I188" s="491">
        <v>6.874621873025049</v>
      </c>
      <c r="J188" s="493">
        <f t="shared" si="20"/>
        <v>804.06807380708415</v>
      </c>
      <c r="K188" s="493">
        <f>+H188-H187</f>
        <v>1028.4260128867281</v>
      </c>
      <c r="L188" s="510"/>
      <c r="M188" s="510"/>
    </row>
    <row r="189" spans="1:13" s="488" customFormat="1" ht="15" customHeight="1" x14ac:dyDescent="0.2">
      <c r="A189" s="507">
        <v>46023</v>
      </c>
      <c r="B189" s="483"/>
      <c r="C189" s="485">
        <v>6411.6036546032356</v>
      </c>
      <c r="D189" s="485">
        <v>420.24955326890887</v>
      </c>
      <c r="E189" s="485">
        <v>6831.8532078721446</v>
      </c>
      <c r="F189" s="485">
        <v>3.8135394009146175</v>
      </c>
      <c r="G189" s="485">
        <v>5576.1915920010242</v>
      </c>
      <c r="H189" s="485">
        <v>12408.044799873169</v>
      </c>
      <c r="I189" s="485">
        <v>6.9261686826213209</v>
      </c>
      <c r="J189" s="487">
        <f t="shared" si="20"/>
        <v>-6.2220150291568643</v>
      </c>
      <c r="K189" s="487">
        <f>+H189-H188</f>
        <v>102.50587439166338</v>
      </c>
      <c r="L189" s="510"/>
      <c r="M189" s="510"/>
    </row>
    <row r="190" spans="1:13" s="488" customFormat="1" ht="15" customHeight="1" x14ac:dyDescent="0.2">
      <c r="A190" s="507">
        <v>46054</v>
      </c>
      <c r="B190" s="483"/>
      <c r="C190" s="485">
        <v>7007.5267018071545</v>
      </c>
      <c r="D190" s="485">
        <v>262.32546299885774</v>
      </c>
      <c r="E190" s="485">
        <v>7269.8521648060123</v>
      </c>
      <c r="F190" s="485">
        <v>3.9894369471997075</v>
      </c>
      <c r="G190" s="485">
        <v>5699.6746267342751</v>
      </c>
      <c r="H190" s="485">
        <v>12969.526791540287</v>
      </c>
      <c r="I190" s="485">
        <v>7.117216168486963</v>
      </c>
      <c r="J190" s="487">
        <f t="shared" si="20"/>
        <v>437.9989569338677</v>
      </c>
      <c r="K190" s="487">
        <f>+H190-H189</f>
        <v>561.48199166711856</v>
      </c>
      <c r="L190" s="510"/>
      <c r="M190" s="510"/>
    </row>
    <row r="191" spans="1:13" s="488" customFormat="1" ht="15" customHeight="1" x14ac:dyDescent="0.2">
      <c r="A191" s="507">
        <v>46082</v>
      </c>
      <c r="B191" s="483"/>
      <c r="C191" s="485">
        <v>6885.5097160450396</v>
      </c>
      <c r="D191" s="485">
        <v>140.6996514259136</v>
      </c>
      <c r="E191" s="485">
        <v>7026.2093674709531</v>
      </c>
      <c r="F191" s="485">
        <v>3.770088523458532</v>
      </c>
      <c r="G191" s="485">
        <v>5873.6240317095953</v>
      </c>
      <c r="H191" s="485">
        <v>12899.833399180548</v>
      </c>
      <c r="I191" s="485">
        <v>6.9217285323057522</v>
      </c>
      <c r="J191" s="487">
        <f t="shared" si="20"/>
        <v>-243.64279733505919</v>
      </c>
      <c r="K191" s="487">
        <f>+H191-H190</f>
        <v>-69.693392359738937</v>
      </c>
      <c r="L191" s="510"/>
      <c r="M191" s="510"/>
    </row>
    <row r="192" spans="1:13" s="488" customFormat="1" ht="15" customHeight="1" x14ac:dyDescent="0.2">
      <c r="A192" s="507">
        <v>46113</v>
      </c>
      <c r="B192" s="483"/>
      <c r="C192" s="485">
        <v>6629.8879526990686</v>
      </c>
      <c r="D192" s="485">
        <v>136.23174496325655</v>
      </c>
      <c r="E192" s="485">
        <v>6766.1196976623251</v>
      </c>
      <c r="F192" s="485">
        <v>3.5095666126672831</v>
      </c>
      <c r="G192" s="512" t="s">
        <v>826</v>
      </c>
      <c r="H192" s="512" t="s">
        <v>826</v>
      </c>
      <c r="I192" s="512" t="s">
        <v>826</v>
      </c>
      <c r="J192" s="487">
        <f t="shared" si="20"/>
        <v>-260.08966980862806</v>
      </c>
      <c r="K192" s="487" t="s">
        <v>826</v>
      </c>
      <c r="L192" s="510"/>
      <c r="M192" s="510"/>
    </row>
    <row r="193" spans="1:11" s="488" customFormat="1" ht="15" customHeight="1" x14ac:dyDescent="0.2">
      <c r="A193" s="513"/>
      <c r="B193" s="514"/>
      <c r="C193" s="515"/>
      <c r="D193" s="515"/>
      <c r="E193" s="515"/>
      <c r="F193" s="515"/>
      <c r="G193" s="515"/>
      <c r="H193" s="515"/>
      <c r="I193" s="515"/>
      <c r="J193" s="515"/>
      <c r="K193" s="515"/>
    </row>
    <row r="194" spans="1:11" x14ac:dyDescent="0.25">
      <c r="H194" s="516"/>
      <c r="I194" s="517" t="s">
        <v>827</v>
      </c>
      <c r="J194" s="517"/>
      <c r="K194" s="517"/>
    </row>
    <row r="195" spans="1:11" x14ac:dyDescent="0.25">
      <c r="A195" s="461" t="s">
        <v>828</v>
      </c>
      <c r="C195" s="458"/>
      <c r="D195" s="458"/>
      <c r="E195" s="458"/>
      <c r="F195" s="458"/>
      <c r="G195" s="458"/>
      <c r="H195" s="458"/>
      <c r="I195" s="518"/>
      <c r="J195" s="519"/>
      <c r="K195" s="520"/>
    </row>
    <row r="196" spans="1:11" x14ac:dyDescent="0.25">
      <c r="H196" s="520"/>
      <c r="J196" s="519"/>
      <c r="K196" s="520"/>
    </row>
    <row r="197" spans="1:11" x14ac:dyDescent="0.25">
      <c r="C197" s="516"/>
      <c r="D197" s="516"/>
      <c r="E197" s="516"/>
      <c r="F197" s="516"/>
      <c r="G197" s="516"/>
      <c r="H197" s="516"/>
      <c r="I197" s="516"/>
      <c r="J197" s="516"/>
      <c r="K197" s="516"/>
    </row>
    <row r="198" spans="1:11" x14ac:dyDescent="0.25">
      <c r="C198" s="521"/>
      <c r="D198" s="521"/>
      <c r="E198" s="521"/>
      <c r="F198" s="521"/>
      <c r="G198" s="521"/>
      <c r="H198" s="521"/>
      <c r="I198" s="521"/>
      <c r="J198" s="519"/>
      <c r="K198" s="520"/>
    </row>
    <row r="199" spans="1:11" x14ac:dyDescent="0.25">
      <c r="C199" s="522"/>
      <c r="D199" s="522"/>
      <c r="E199" s="522"/>
      <c r="F199" s="522"/>
      <c r="G199" s="522"/>
      <c r="H199" s="522"/>
      <c r="I199" s="522"/>
      <c r="J199" s="519"/>
      <c r="K199" s="520"/>
    </row>
    <row r="200" spans="1:11" x14ac:dyDescent="0.25">
      <c r="F200" s="458"/>
      <c r="J200" s="519"/>
      <c r="K200" s="520"/>
    </row>
    <row r="201" spans="1:11" x14ac:dyDescent="0.25">
      <c r="J201" s="519"/>
      <c r="K201" s="520"/>
    </row>
    <row r="202" spans="1:11" x14ac:dyDescent="0.25">
      <c r="J202" s="519"/>
      <c r="K202" s="520"/>
    </row>
    <row r="203" spans="1:11" x14ac:dyDescent="0.25">
      <c r="J203" s="519"/>
      <c r="K203" s="520"/>
    </row>
    <row r="204" spans="1:11" x14ac:dyDescent="0.25">
      <c r="J204" s="519"/>
      <c r="K204" s="520"/>
    </row>
  </sheetData>
  <mergeCells count="10">
    <mergeCell ref="I194:K194"/>
    <mergeCell ref="A4:K4"/>
    <mergeCell ref="A6:A9"/>
    <mergeCell ref="B6:B9"/>
    <mergeCell ref="C6:C8"/>
    <mergeCell ref="E6:F6"/>
    <mergeCell ref="G6:G8"/>
    <mergeCell ref="H6:I6"/>
    <mergeCell ref="J6:J8"/>
    <mergeCell ref="K6:K8"/>
  </mergeCells>
  <hyperlinks>
    <hyperlink ref="K2" location="Contents!A1" display="Back to Contents" xr:uid="{38DC93D1-F742-4FC8-836E-7196216A158D}"/>
  </hyperlinks>
  <pageMargins left="0.7" right="0.7" top="0.75" bottom="0.75" header="0.3" footer="0.3"/>
  <pageSetup paperSize="9" scale="75" orientation="portrait" r:id="rId1"/>
  <headerFooter>
    <oddHeader>&amp;L&amp;"Calibri"&amp;10&amp;KA80000 [Confidential]&amp;1#_x000D_&amp;C&amp;G</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EBD25-8B1C-4999-9DE6-2B0CCC573873}">
  <sheetPr>
    <pageSetUpPr fitToPage="1"/>
  </sheetPr>
  <dimension ref="A1:V299"/>
  <sheetViews>
    <sheetView showGridLines="0" zoomScaleNormal="100" zoomScaleSheetLayoutView="100" workbookViewId="0">
      <pane xSplit="2" ySplit="8" topLeftCell="C271" activePane="bottomRight" state="frozen"/>
      <selection activeCell="AA321" sqref="AA321"/>
      <selection pane="topRight" activeCell="AA321" sqref="AA321"/>
      <selection pane="bottomLeft" activeCell="AA321" sqref="AA321"/>
      <selection pane="bottomRight" activeCell="J2" sqref="J2"/>
    </sheetView>
  </sheetViews>
  <sheetFormatPr defaultColWidth="11.28515625" defaultRowHeight="15" x14ac:dyDescent="0.25"/>
  <cols>
    <col min="1" max="1" width="14.42578125" style="461" customWidth="1"/>
    <col min="2" max="2" width="13.28515625" style="458" hidden="1" customWidth="1"/>
    <col min="3" max="5" width="12.85546875" style="458" bestFit="1" customWidth="1"/>
    <col min="6" max="7" width="11.5703125" style="458" bestFit="1" customWidth="1"/>
    <col min="8" max="8" width="12.85546875" style="458" bestFit="1" customWidth="1"/>
    <col min="9" max="10" width="13.42578125" style="458" customWidth="1"/>
    <col min="11" max="16384" width="11.28515625" style="458"/>
  </cols>
  <sheetData>
    <row r="1" spans="1:14" ht="15.75" customHeight="1" x14ac:dyDescent="0.3">
      <c r="A1" s="273" t="s">
        <v>29</v>
      </c>
      <c r="B1" s="455"/>
      <c r="J1" s="282" t="s">
        <v>829</v>
      </c>
    </row>
    <row r="2" spans="1:14" ht="14.25" customHeight="1" x14ac:dyDescent="0.25">
      <c r="A2" s="273" t="s">
        <v>286</v>
      </c>
      <c r="J2" s="56" t="s">
        <v>10</v>
      </c>
    </row>
    <row r="3" spans="1:14" ht="14.25" customHeight="1" x14ac:dyDescent="0.25">
      <c r="A3" s="273"/>
      <c r="J3" s="56"/>
    </row>
    <row r="4" spans="1:14" ht="49.5" customHeight="1" x14ac:dyDescent="0.25">
      <c r="A4" s="523" t="s">
        <v>392</v>
      </c>
      <c r="B4" s="523"/>
      <c r="C4" s="523"/>
      <c r="D4" s="523"/>
      <c r="E4" s="523"/>
      <c r="F4" s="523"/>
      <c r="G4" s="523"/>
      <c r="H4" s="523"/>
      <c r="I4" s="523"/>
      <c r="J4" s="523"/>
    </row>
    <row r="5" spans="1:14" ht="18" customHeight="1" x14ac:dyDescent="0.25">
      <c r="A5" s="462" t="s">
        <v>117</v>
      </c>
      <c r="B5" s="524"/>
      <c r="G5" s="525"/>
      <c r="H5" s="526"/>
    </row>
    <row r="6" spans="1:14" ht="19.5" customHeight="1" x14ac:dyDescent="0.25">
      <c r="A6" s="527" t="s">
        <v>767</v>
      </c>
      <c r="B6" s="528" t="s">
        <v>768</v>
      </c>
      <c r="C6" s="529" t="s">
        <v>830</v>
      </c>
      <c r="D6" s="529"/>
      <c r="E6" s="529"/>
      <c r="F6" s="529"/>
      <c r="G6" s="529"/>
      <c r="H6" s="530"/>
      <c r="I6" s="531" t="s">
        <v>831</v>
      </c>
      <c r="J6" s="532"/>
    </row>
    <row r="7" spans="1:14" ht="18.75" customHeight="1" x14ac:dyDescent="0.25">
      <c r="A7" s="533"/>
      <c r="B7" s="534"/>
      <c r="C7" s="535" t="s">
        <v>832</v>
      </c>
      <c r="D7" s="536" t="s">
        <v>833</v>
      </c>
      <c r="E7" s="537" t="s">
        <v>834</v>
      </c>
      <c r="F7" s="537" t="s">
        <v>835</v>
      </c>
      <c r="G7" s="538" t="s">
        <v>836</v>
      </c>
      <c r="H7" s="539" t="s">
        <v>837</v>
      </c>
      <c r="I7" s="540" t="s">
        <v>838</v>
      </c>
      <c r="J7" s="541" t="s">
        <v>839</v>
      </c>
    </row>
    <row r="8" spans="1:14" ht="16.5" customHeight="1" x14ac:dyDescent="0.25">
      <c r="A8" s="542"/>
      <c r="B8" s="543"/>
      <c r="C8" s="544"/>
      <c r="D8" s="545" t="s">
        <v>840</v>
      </c>
      <c r="E8" s="546"/>
      <c r="F8" s="547" t="s">
        <v>841</v>
      </c>
      <c r="G8" s="548" t="s">
        <v>842</v>
      </c>
      <c r="H8" s="549" t="s">
        <v>843</v>
      </c>
      <c r="I8" s="550" t="s">
        <v>844</v>
      </c>
      <c r="J8" s="551" t="s">
        <v>844</v>
      </c>
    </row>
    <row r="9" spans="1:14" x14ac:dyDescent="0.25">
      <c r="A9" s="552">
        <v>2012</v>
      </c>
      <c r="B9" s="553" t="s">
        <v>778</v>
      </c>
      <c r="C9" s="554">
        <f t="shared" ref="C9:H9" si="0">C125</f>
        <v>12716.08</v>
      </c>
      <c r="D9" s="554">
        <f t="shared" si="0"/>
        <v>20547.28</v>
      </c>
      <c r="E9" s="554">
        <f t="shared" si="0"/>
        <v>16812.57</v>
      </c>
      <c r="F9" s="554">
        <f t="shared" si="0"/>
        <v>147.99</v>
      </c>
      <c r="G9" s="554">
        <f t="shared" si="0"/>
        <v>232.62</v>
      </c>
      <c r="H9" s="554">
        <f t="shared" si="0"/>
        <v>19531.100000000002</v>
      </c>
      <c r="I9" s="555">
        <v>90.440705196787803</v>
      </c>
      <c r="J9" s="555">
        <v>95.634264295239333</v>
      </c>
    </row>
    <row r="10" spans="1:14" s="488" customFormat="1" ht="12.75" x14ac:dyDescent="0.2">
      <c r="A10" s="495">
        <v>2013</v>
      </c>
      <c r="B10" s="556" t="s">
        <v>778</v>
      </c>
      <c r="C10" s="557">
        <f t="shared" ref="C10:H10" si="1">C137</f>
        <v>13075.3</v>
      </c>
      <c r="D10" s="557">
        <f t="shared" si="1"/>
        <v>21557.9</v>
      </c>
      <c r="E10" s="557">
        <f t="shared" si="1"/>
        <v>18045.22</v>
      </c>
      <c r="F10" s="557">
        <f t="shared" si="1"/>
        <v>124.59</v>
      </c>
      <c r="G10" s="557">
        <f t="shared" si="1"/>
        <v>211.16000000000003</v>
      </c>
      <c r="H10" s="557">
        <f t="shared" si="1"/>
        <v>20135.5</v>
      </c>
      <c r="I10" s="558">
        <v>91.389246300491308</v>
      </c>
      <c r="J10" s="558">
        <v>101.1262508132168</v>
      </c>
    </row>
    <row r="11" spans="1:14" s="488" customFormat="1" ht="12.75" x14ac:dyDescent="0.2">
      <c r="A11" s="497">
        <v>2014</v>
      </c>
      <c r="B11" s="559" t="s">
        <v>778</v>
      </c>
      <c r="C11" s="560">
        <v>13104.859999999999</v>
      </c>
      <c r="D11" s="560">
        <v>20404.27</v>
      </c>
      <c r="E11" s="560">
        <v>15942.060000000001</v>
      </c>
      <c r="F11" s="560">
        <v>109.79</v>
      </c>
      <c r="G11" s="560">
        <v>206.75</v>
      </c>
      <c r="H11" s="560">
        <v>18986.400000000001</v>
      </c>
      <c r="I11" s="561">
        <v>105.26758954696929</v>
      </c>
      <c r="J11" s="561">
        <v>98.871487596335939</v>
      </c>
    </row>
    <row r="12" spans="1:14" s="488" customFormat="1" ht="12.75" x14ac:dyDescent="0.2">
      <c r="A12" s="495">
        <v>2015</v>
      </c>
      <c r="B12" s="556" t="s">
        <v>778</v>
      </c>
      <c r="C12" s="557">
        <v>14406.23</v>
      </c>
      <c r="D12" s="557">
        <v>21357.239999999998</v>
      </c>
      <c r="E12" s="557">
        <v>15737.37</v>
      </c>
      <c r="F12" s="557">
        <v>119.6</v>
      </c>
      <c r="G12" s="557">
        <v>216.76999999999998</v>
      </c>
      <c r="H12" s="557">
        <v>19963.099999999999</v>
      </c>
      <c r="I12" s="558">
        <v>109.45620385419979</v>
      </c>
      <c r="J12" s="558">
        <v>103.00898666581583</v>
      </c>
    </row>
    <row r="13" spans="1:14" s="488" customFormat="1" ht="12.75" x14ac:dyDescent="0.2">
      <c r="A13" s="497">
        <v>2016</v>
      </c>
      <c r="B13" s="559" t="s">
        <v>778</v>
      </c>
      <c r="C13" s="560">
        <v>14980.000000000002</v>
      </c>
      <c r="D13" s="560">
        <v>18404.43</v>
      </c>
      <c r="E13" s="560">
        <v>15787.42</v>
      </c>
      <c r="F13" s="560">
        <v>128.66999999999999</v>
      </c>
      <c r="G13" s="560">
        <v>220.56</v>
      </c>
      <c r="H13" s="560">
        <v>20138.099999999999</v>
      </c>
      <c r="I13" s="561">
        <v>104.9078448605372</v>
      </c>
      <c r="J13" s="561">
        <v>100.55350770012245</v>
      </c>
      <c r="M13" s="562"/>
      <c r="N13" s="562"/>
    </row>
    <row r="14" spans="1:14" s="488" customFormat="1" ht="12.75" x14ac:dyDescent="0.2">
      <c r="A14" s="495">
        <v>2017</v>
      </c>
      <c r="B14" s="556" t="s">
        <v>778</v>
      </c>
      <c r="C14" s="557">
        <v>15285.480000000001</v>
      </c>
      <c r="D14" s="557">
        <v>20553.620000000003</v>
      </c>
      <c r="E14" s="557">
        <v>18248.57</v>
      </c>
      <c r="F14" s="557">
        <v>135.59</v>
      </c>
      <c r="G14" s="557">
        <v>238.54000000000002</v>
      </c>
      <c r="H14" s="557">
        <v>21768.600000000002</v>
      </c>
      <c r="I14" s="558">
        <v>100</v>
      </c>
      <c r="J14" s="558">
        <v>100</v>
      </c>
    </row>
    <row r="15" spans="1:14" s="488" customFormat="1" ht="12.75" x14ac:dyDescent="0.2">
      <c r="A15" s="497">
        <v>2018</v>
      </c>
      <c r="B15" s="559" t="s">
        <v>778</v>
      </c>
      <c r="C15" s="560">
        <v>18274.989999999998</v>
      </c>
      <c r="D15" s="560">
        <v>23186.39</v>
      </c>
      <c r="E15" s="560">
        <v>20899.28</v>
      </c>
      <c r="F15" s="560">
        <v>165.47</v>
      </c>
      <c r="G15" s="560">
        <v>261.32</v>
      </c>
      <c r="H15" s="560">
        <v>25351.1</v>
      </c>
      <c r="I15" s="561">
        <v>94.049377152611612</v>
      </c>
      <c r="J15" s="561">
        <v>95.454512060205275</v>
      </c>
      <c r="M15" s="562"/>
      <c r="N15" s="562"/>
    </row>
    <row r="16" spans="1:14" s="488" customFormat="1" ht="12.75" x14ac:dyDescent="0.2">
      <c r="A16" s="495">
        <v>2019</v>
      </c>
      <c r="B16" s="556" t="s">
        <v>778</v>
      </c>
      <c r="C16" s="557">
        <v>18163.399999999998</v>
      </c>
      <c r="D16" s="557">
        <v>23845.82</v>
      </c>
      <c r="E16" s="557">
        <v>20366.62</v>
      </c>
      <c r="F16" s="557">
        <v>167.17</v>
      </c>
      <c r="G16" s="557">
        <v>254.67</v>
      </c>
      <c r="H16" s="557">
        <v>25116.89</v>
      </c>
      <c r="I16" s="558">
        <v>88.17</v>
      </c>
      <c r="J16" s="558">
        <v>90.42</v>
      </c>
      <c r="M16" s="562"/>
      <c r="N16" s="562"/>
    </row>
    <row r="17" spans="1:14" s="488" customFormat="1" ht="12.75" x14ac:dyDescent="0.2">
      <c r="A17" s="497">
        <v>2020</v>
      </c>
      <c r="B17" s="559" t="s">
        <v>778</v>
      </c>
      <c r="C17" s="560">
        <v>18640.82</v>
      </c>
      <c r="D17" s="560">
        <v>25435.4</v>
      </c>
      <c r="E17" s="560">
        <v>22942.19</v>
      </c>
      <c r="F17" s="560">
        <v>180.81</v>
      </c>
      <c r="G17" s="560">
        <v>254.67</v>
      </c>
      <c r="H17" s="560">
        <v>26847.813821399996</v>
      </c>
      <c r="I17" s="561">
        <v>85.93</v>
      </c>
      <c r="J17" s="561">
        <v>91.52</v>
      </c>
      <c r="M17" s="562"/>
      <c r="N17" s="562"/>
    </row>
    <row r="18" spans="1:14" s="488" customFormat="1" ht="12.75" x14ac:dyDescent="0.2">
      <c r="A18" s="495">
        <v>2021</v>
      </c>
      <c r="B18" s="556" t="s">
        <v>778</v>
      </c>
      <c r="C18" s="557">
        <f t="shared" ref="C18:H18" si="2">+C233</f>
        <v>20043.379999999997</v>
      </c>
      <c r="D18" s="557">
        <f t="shared" si="2"/>
        <v>27059.570000000003</v>
      </c>
      <c r="E18" s="557">
        <f t="shared" si="2"/>
        <v>22686.1</v>
      </c>
      <c r="F18" s="557">
        <f t="shared" si="2"/>
        <v>174.15</v>
      </c>
      <c r="G18" s="557">
        <f t="shared" si="2"/>
        <v>269.34999999999997</v>
      </c>
      <c r="H18" s="557">
        <f t="shared" si="2"/>
        <v>28052.5142142</v>
      </c>
      <c r="I18" s="558">
        <v>78.645143036910596</v>
      </c>
      <c r="J18" s="558">
        <v>87.130959357173296</v>
      </c>
      <c r="M18" s="562"/>
      <c r="N18" s="562"/>
    </row>
    <row r="19" spans="1:14" s="488" customFormat="1" ht="12.75" x14ac:dyDescent="0.2">
      <c r="A19" s="497">
        <v>2022</v>
      </c>
      <c r="B19" s="559" t="s">
        <v>778</v>
      </c>
      <c r="C19" s="560">
        <v>36311</v>
      </c>
      <c r="D19" s="560">
        <v>43734.78</v>
      </c>
      <c r="E19" s="560">
        <v>38693</v>
      </c>
      <c r="F19" s="560">
        <v>273.85000000000002</v>
      </c>
      <c r="G19" s="560">
        <v>438.61</v>
      </c>
      <c r="H19" s="560">
        <v>48324.131240000002</v>
      </c>
      <c r="I19" s="561">
        <v>53.994600975811295</v>
      </c>
      <c r="J19" s="561">
        <v>77.489999999999995</v>
      </c>
      <c r="M19" s="562"/>
      <c r="N19" s="562"/>
    </row>
    <row r="20" spans="1:14" s="488" customFormat="1" ht="12.75" x14ac:dyDescent="0.2">
      <c r="A20" s="495">
        <v>2023</v>
      </c>
      <c r="B20" s="556" t="s">
        <v>778</v>
      </c>
      <c r="C20" s="557">
        <v>32392.33</v>
      </c>
      <c r="D20" s="557">
        <v>41261.35</v>
      </c>
      <c r="E20" s="557">
        <v>35874.51</v>
      </c>
      <c r="F20" s="557">
        <v>229.11</v>
      </c>
      <c r="G20" s="557">
        <v>389.64</v>
      </c>
      <c r="H20" s="557">
        <v>43459.817391099998</v>
      </c>
      <c r="I20" s="558">
        <v>53.3026800079559</v>
      </c>
      <c r="J20" s="558">
        <v>71.727338123704641</v>
      </c>
      <c r="M20" s="562"/>
      <c r="N20" s="562"/>
    </row>
    <row r="21" spans="1:14" s="488" customFormat="1" ht="12.75" x14ac:dyDescent="0.2">
      <c r="A21" s="497">
        <v>2024</v>
      </c>
      <c r="B21" s="559" t="s">
        <v>778</v>
      </c>
      <c r="C21" s="560">
        <f t="shared" ref="C21:H21" si="3">+C269</f>
        <v>29258.33</v>
      </c>
      <c r="D21" s="560">
        <f t="shared" si="3"/>
        <v>36738.22</v>
      </c>
      <c r="E21" s="560">
        <f t="shared" si="3"/>
        <v>30456.46</v>
      </c>
      <c r="F21" s="560">
        <f t="shared" si="3"/>
        <v>187.02</v>
      </c>
      <c r="G21" s="560">
        <f t="shared" si="3"/>
        <v>341.96</v>
      </c>
      <c r="H21" s="560">
        <f t="shared" si="3"/>
        <v>38156.6659029</v>
      </c>
      <c r="I21" s="561">
        <v>58.561294744142252</v>
      </c>
      <c r="J21" s="561">
        <v>74.77415477043688</v>
      </c>
      <c r="M21" s="562"/>
      <c r="N21" s="562"/>
    </row>
    <row r="22" spans="1:14" s="488" customFormat="1" ht="12.75" x14ac:dyDescent="0.2">
      <c r="A22" s="495">
        <v>2025</v>
      </c>
      <c r="B22" s="559" t="s">
        <v>778</v>
      </c>
      <c r="C22" s="557">
        <v>30999.439999999999</v>
      </c>
      <c r="D22" s="557">
        <v>41731.450000000004</v>
      </c>
      <c r="E22" s="557">
        <v>36396.44</v>
      </c>
      <c r="F22" s="557">
        <v>198.14000000000001</v>
      </c>
      <c r="G22" s="557">
        <v>345.26</v>
      </c>
      <c r="H22" s="557">
        <v>42453.733079999998</v>
      </c>
      <c r="I22" s="558">
        <v>58.573989617020274</v>
      </c>
      <c r="J22" s="558">
        <v>72.872867731012775</v>
      </c>
      <c r="M22" s="562"/>
      <c r="N22" s="562"/>
    </row>
    <row r="23" spans="1:14" s="488" customFormat="1" ht="12.75" x14ac:dyDescent="0.2">
      <c r="A23" s="495"/>
      <c r="B23" s="556"/>
      <c r="C23" s="557"/>
      <c r="D23" s="557"/>
      <c r="E23" s="557"/>
      <c r="F23" s="557"/>
      <c r="G23" s="557"/>
      <c r="H23" s="557"/>
      <c r="I23" s="558"/>
      <c r="J23" s="563"/>
      <c r="M23" s="562"/>
      <c r="N23" s="562"/>
    </row>
    <row r="24" spans="1:14" s="488" customFormat="1" ht="15" customHeight="1" x14ac:dyDescent="0.2">
      <c r="A24" s="497" t="s">
        <v>845</v>
      </c>
      <c r="B24" s="564" t="s">
        <v>780</v>
      </c>
      <c r="C24" s="560">
        <f t="shared" ref="C24:H24" si="4">C92</f>
        <v>11404.49</v>
      </c>
      <c r="D24" s="560">
        <f t="shared" si="4"/>
        <v>17192.27</v>
      </c>
      <c r="E24" s="560">
        <f t="shared" si="4"/>
        <v>15285.44</v>
      </c>
      <c r="F24" s="560">
        <f t="shared" si="4"/>
        <v>122.25</v>
      </c>
      <c r="G24" s="560">
        <f t="shared" si="4"/>
        <v>254.22</v>
      </c>
      <c r="H24" s="560">
        <f t="shared" si="4"/>
        <v>17314.8</v>
      </c>
      <c r="I24" s="565">
        <v>98.460259718034308</v>
      </c>
      <c r="J24" s="561">
        <v>98.462675767471822</v>
      </c>
    </row>
    <row r="25" spans="1:14" s="488" customFormat="1" ht="15" customHeight="1" x14ac:dyDescent="0.2">
      <c r="A25" s="497" t="s">
        <v>846</v>
      </c>
      <c r="B25" s="564" t="s">
        <v>780</v>
      </c>
      <c r="C25" s="560">
        <f t="shared" ref="C25:H25" si="5">C95</f>
        <v>11351.97</v>
      </c>
      <c r="D25" s="560">
        <f t="shared" si="5"/>
        <v>17101.18</v>
      </c>
      <c r="E25" s="560">
        <f t="shared" si="5"/>
        <v>13864.16</v>
      </c>
      <c r="F25" s="560">
        <f t="shared" si="5"/>
        <v>128.18</v>
      </c>
      <c r="G25" s="560">
        <f t="shared" si="5"/>
        <v>245.71</v>
      </c>
      <c r="H25" s="560">
        <f t="shared" si="5"/>
        <v>16788.400000000001</v>
      </c>
      <c r="I25" s="565">
        <v>101.03523958961806</v>
      </c>
      <c r="J25" s="561">
        <v>99.757729305793347</v>
      </c>
    </row>
    <row r="26" spans="1:14" s="488" customFormat="1" ht="15" customHeight="1" x14ac:dyDescent="0.2">
      <c r="A26" s="497" t="s">
        <v>847</v>
      </c>
      <c r="B26" s="564" t="s">
        <v>780</v>
      </c>
      <c r="C26" s="560">
        <f t="shared" ref="C26:H26" si="6">C98</f>
        <v>11192.77</v>
      </c>
      <c r="D26" s="560">
        <f t="shared" si="6"/>
        <v>17711.439999999999</v>
      </c>
      <c r="E26" s="560">
        <f t="shared" si="6"/>
        <v>15234.48</v>
      </c>
      <c r="F26" s="560">
        <f t="shared" si="6"/>
        <v>133.93</v>
      </c>
      <c r="G26" s="560">
        <f t="shared" si="6"/>
        <v>251.13</v>
      </c>
      <c r="H26" s="560">
        <f t="shared" si="6"/>
        <v>17418.100000000002</v>
      </c>
      <c r="I26" s="565">
        <v>101.05083998784134</v>
      </c>
      <c r="J26" s="561">
        <v>100.83324210873326</v>
      </c>
    </row>
    <row r="27" spans="1:14" s="488" customFormat="1" ht="15" customHeight="1" x14ac:dyDescent="0.2">
      <c r="A27" s="497" t="s">
        <v>848</v>
      </c>
      <c r="B27" s="564" t="s">
        <v>780</v>
      </c>
      <c r="C27" s="560">
        <f t="shared" ref="C27:H27" si="7">C101</f>
        <v>11095.300000000001</v>
      </c>
      <c r="D27" s="560">
        <f t="shared" si="7"/>
        <v>17141.13</v>
      </c>
      <c r="E27" s="560">
        <f t="shared" si="7"/>
        <v>14756.19</v>
      </c>
      <c r="F27" s="560">
        <f t="shared" si="7"/>
        <v>136.10999999999999</v>
      </c>
      <c r="G27" s="560">
        <f t="shared" si="7"/>
        <v>247.61</v>
      </c>
      <c r="H27" s="560">
        <f t="shared" si="7"/>
        <v>17083.699999999997</v>
      </c>
      <c r="I27" s="565">
        <v>99.498257708062695</v>
      </c>
      <c r="J27" s="561">
        <v>101.0120923350788</v>
      </c>
    </row>
    <row r="28" spans="1:14" s="488" customFormat="1" ht="15" customHeight="1" x14ac:dyDescent="0.2">
      <c r="A28" s="495" t="s">
        <v>849</v>
      </c>
      <c r="B28" s="566" t="s">
        <v>780</v>
      </c>
      <c r="C28" s="557">
        <f t="shared" ref="C28:H28" si="8">C104</f>
        <v>11039.289999999999</v>
      </c>
      <c r="D28" s="557">
        <f t="shared" si="8"/>
        <v>17779.329999999998</v>
      </c>
      <c r="E28" s="557">
        <f t="shared" si="8"/>
        <v>15612.87</v>
      </c>
      <c r="F28" s="557">
        <f t="shared" si="8"/>
        <v>133.28</v>
      </c>
      <c r="G28" s="557">
        <f t="shared" si="8"/>
        <v>247.52</v>
      </c>
      <c r="H28" s="557">
        <f t="shared" si="8"/>
        <v>17502.8</v>
      </c>
      <c r="I28" s="567">
        <f>AVERAGE(I102:I104)</f>
        <v>99.814563309843649</v>
      </c>
      <c r="J28" s="558">
        <f>AVERAGE(J102:J104)</f>
        <v>102.79231594186831</v>
      </c>
    </row>
    <row r="29" spans="1:14" s="488" customFormat="1" ht="15" customHeight="1" x14ac:dyDescent="0.2">
      <c r="A29" s="495" t="s">
        <v>850</v>
      </c>
      <c r="B29" s="566" t="s">
        <v>780</v>
      </c>
      <c r="C29" s="557">
        <f t="shared" ref="C29:H29" si="9">C107</f>
        <v>10960.710000000001</v>
      </c>
      <c r="D29" s="557">
        <f t="shared" si="9"/>
        <v>17635.230000000003</v>
      </c>
      <c r="E29" s="557">
        <f t="shared" si="9"/>
        <v>15880.42</v>
      </c>
      <c r="F29" s="557">
        <f t="shared" si="9"/>
        <v>136.04</v>
      </c>
      <c r="G29" s="557">
        <f t="shared" si="9"/>
        <v>245.43</v>
      </c>
      <c r="H29" s="557">
        <f t="shared" si="9"/>
        <v>17542</v>
      </c>
      <c r="I29" s="567">
        <f>AVERAGE(I105:I107)</f>
        <v>98.660389591321817</v>
      </c>
      <c r="J29" s="558">
        <f>AVERAGE(J105:J107)</f>
        <v>100.61500131886692</v>
      </c>
    </row>
    <row r="30" spans="1:14" s="488" customFormat="1" ht="15" customHeight="1" x14ac:dyDescent="0.2">
      <c r="A30" s="495" t="s">
        <v>851</v>
      </c>
      <c r="B30" s="566" t="s">
        <v>780</v>
      </c>
      <c r="C30" s="557">
        <f t="shared" ref="C30:H30" si="10">C110</f>
        <v>11019.199999999999</v>
      </c>
      <c r="D30" s="557">
        <f t="shared" si="10"/>
        <v>17192.71</v>
      </c>
      <c r="E30" s="557">
        <f t="shared" si="10"/>
        <v>14938.18</v>
      </c>
      <c r="F30" s="557">
        <f t="shared" si="10"/>
        <v>143.93</v>
      </c>
      <c r="G30" s="557">
        <f t="shared" si="10"/>
        <v>224.73999999999998</v>
      </c>
      <c r="H30" s="568">
        <f t="shared" si="10"/>
        <v>17207.900000000001</v>
      </c>
      <c r="I30" s="569">
        <f>AVERAGE(I108:I110)</f>
        <v>99.543458318971759</v>
      </c>
      <c r="J30" s="558">
        <f>AVERAGE(J108:J110)</f>
        <v>101.06411939602816</v>
      </c>
    </row>
    <row r="31" spans="1:14" s="488" customFormat="1" ht="15" customHeight="1" x14ac:dyDescent="0.2">
      <c r="A31" s="495" t="s">
        <v>852</v>
      </c>
      <c r="B31" s="566" t="s">
        <v>780</v>
      </c>
      <c r="C31" s="557">
        <f t="shared" ref="C31:H31" si="11">C113</f>
        <v>11390.130000000001</v>
      </c>
      <c r="D31" s="557">
        <f t="shared" si="11"/>
        <v>17544.79</v>
      </c>
      <c r="E31" s="557">
        <f t="shared" si="11"/>
        <v>14742.250000000002</v>
      </c>
      <c r="F31" s="557">
        <f t="shared" si="11"/>
        <v>146.69</v>
      </c>
      <c r="G31" s="557">
        <f t="shared" si="11"/>
        <v>215.29</v>
      </c>
      <c r="H31" s="568">
        <f t="shared" si="11"/>
        <v>17486.900000000001</v>
      </c>
      <c r="I31" s="563">
        <f>AVERAGE(I111:I113)</f>
        <v>101.33120687450736</v>
      </c>
      <c r="J31" s="558">
        <f>AVERAGE(J111:J113)</f>
        <v>102.86434750684754</v>
      </c>
    </row>
    <row r="32" spans="1:14" s="488" customFormat="1" ht="15" customHeight="1" x14ac:dyDescent="0.2">
      <c r="A32" s="497" t="s">
        <v>853</v>
      </c>
      <c r="B32" s="564" t="s">
        <v>780</v>
      </c>
      <c r="C32" s="560">
        <f t="shared" ref="C32:H32" si="12">C116</f>
        <v>12818.78</v>
      </c>
      <c r="D32" s="560">
        <f t="shared" si="12"/>
        <v>20487.620000000003</v>
      </c>
      <c r="E32" s="560">
        <f t="shared" si="12"/>
        <v>17118.199999999997</v>
      </c>
      <c r="F32" s="560">
        <f t="shared" si="12"/>
        <v>156.05000000000001</v>
      </c>
      <c r="G32" s="560">
        <f t="shared" si="12"/>
        <v>249.61</v>
      </c>
      <c r="H32" s="560">
        <f t="shared" si="12"/>
        <v>19857.400000000001</v>
      </c>
      <c r="I32" s="565">
        <f>AVERAGE(I114:I116)</f>
        <v>95.512765556705972</v>
      </c>
      <c r="J32" s="561">
        <f>AVERAGE(J114:J116)</f>
        <v>98.362729403102477</v>
      </c>
    </row>
    <row r="33" spans="1:10" s="488" customFormat="1" ht="15" customHeight="1" x14ac:dyDescent="0.2">
      <c r="A33" s="497" t="s">
        <v>854</v>
      </c>
      <c r="B33" s="564" t="s">
        <v>780</v>
      </c>
      <c r="C33" s="560">
        <f t="shared" ref="C33:H33" si="13">C119</f>
        <v>13330.439999999999</v>
      </c>
      <c r="D33" s="560">
        <f t="shared" si="13"/>
        <v>20712.170000000002</v>
      </c>
      <c r="E33" s="560">
        <f t="shared" si="13"/>
        <v>16595.060000000001</v>
      </c>
      <c r="F33" s="560">
        <f t="shared" si="13"/>
        <v>168.23999999999998</v>
      </c>
      <c r="G33" s="560">
        <f t="shared" si="13"/>
        <v>234.67</v>
      </c>
      <c r="H33" s="560">
        <f t="shared" si="13"/>
        <v>20229.599999999999</v>
      </c>
      <c r="I33" s="565">
        <f>AVERAGE(I117:I119)</f>
        <v>88.915062255280588</v>
      </c>
      <c r="J33" s="561">
        <f>AVERAGE(J117:J119)</f>
        <v>94.176603052276604</v>
      </c>
    </row>
    <row r="34" spans="1:10" s="488" customFormat="1" ht="15" customHeight="1" x14ac:dyDescent="0.2">
      <c r="A34" s="497" t="s">
        <v>855</v>
      </c>
      <c r="B34" s="564" t="s">
        <v>780</v>
      </c>
      <c r="C34" s="560">
        <f t="shared" ref="C34:H34" si="14">C122</f>
        <v>12979.429999999998</v>
      </c>
      <c r="D34" s="560">
        <f t="shared" si="14"/>
        <v>21098.06</v>
      </c>
      <c r="E34" s="560">
        <f t="shared" si="14"/>
        <v>16796.68</v>
      </c>
      <c r="F34" s="560">
        <f t="shared" si="14"/>
        <v>167.39</v>
      </c>
      <c r="G34" s="560">
        <f t="shared" si="14"/>
        <v>245.08</v>
      </c>
      <c r="H34" s="560">
        <f t="shared" si="14"/>
        <v>20016.7</v>
      </c>
      <c r="I34" s="565">
        <f>AVERAGE(I120:I122)</f>
        <v>88.285345995437467</v>
      </c>
      <c r="J34" s="561">
        <f>AVERAGE(J120:J122)</f>
        <v>95.016082026520522</v>
      </c>
    </row>
    <row r="35" spans="1:10" s="488" customFormat="1" ht="15" customHeight="1" x14ac:dyDescent="0.2">
      <c r="A35" s="497" t="s">
        <v>856</v>
      </c>
      <c r="B35" s="564" t="s">
        <v>780</v>
      </c>
      <c r="C35" s="560">
        <f t="shared" ref="C35:H35" si="15">C125</f>
        <v>12716.08</v>
      </c>
      <c r="D35" s="560">
        <f t="shared" si="15"/>
        <v>20547.28</v>
      </c>
      <c r="E35" s="560">
        <f t="shared" si="15"/>
        <v>16812.57</v>
      </c>
      <c r="F35" s="560">
        <f t="shared" si="15"/>
        <v>147.99</v>
      </c>
      <c r="G35" s="560">
        <f t="shared" si="15"/>
        <v>232.62</v>
      </c>
      <c r="H35" s="560">
        <f t="shared" si="15"/>
        <v>19531.100000000002</v>
      </c>
      <c r="I35" s="565">
        <f>AVERAGE(I123:I125)</f>
        <v>89.049646979727115</v>
      </c>
      <c r="J35" s="561">
        <f>AVERAGE(J123:J125)</f>
        <v>95.648242806829742</v>
      </c>
    </row>
    <row r="36" spans="1:10" s="488" customFormat="1" ht="12.75" x14ac:dyDescent="0.2">
      <c r="A36" s="495" t="s">
        <v>857</v>
      </c>
      <c r="B36" s="566" t="s">
        <v>780</v>
      </c>
      <c r="C36" s="557">
        <f t="shared" ref="C36:H36" si="16">C128</f>
        <v>12685.28</v>
      </c>
      <c r="D36" s="557">
        <f t="shared" si="16"/>
        <v>19204.25</v>
      </c>
      <c r="E36" s="557">
        <f t="shared" si="16"/>
        <v>16214.320000000002</v>
      </c>
      <c r="F36" s="557">
        <f t="shared" si="16"/>
        <v>134.78</v>
      </c>
      <c r="G36" s="557">
        <f t="shared" si="16"/>
        <v>233.06</v>
      </c>
      <c r="H36" s="557">
        <f t="shared" si="16"/>
        <v>19002.8</v>
      </c>
      <c r="I36" s="567">
        <v>91.330814311335018</v>
      </c>
      <c r="J36" s="558">
        <v>100.34993552175438</v>
      </c>
    </row>
    <row r="37" spans="1:10" s="488" customFormat="1" ht="12.75" x14ac:dyDescent="0.2">
      <c r="A37" s="495" t="s">
        <v>858</v>
      </c>
      <c r="B37" s="566" t="s">
        <v>780</v>
      </c>
      <c r="C37" s="557">
        <f t="shared" ref="C37:H37" si="17">+C131</f>
        <v>12996.06</v>
      </c>
      <c r="D37" s="557">
        <f t="shared" si="17"/>
        <v>19844.329999999998</v>
      </c>
      <c r="E37" s="557">
        <f t="shared" si="17"/>
        <v>16987.8</v>
      </c>
      <c r="F37" s="557">
        <f t="shared" si="17"/>
        <v>131.35</v>
      </c>
      <c r="G37" s="557">
        <f t="shared" si="17"/>
        <v>216.2</v>
      </c>
      <c r="H37" s="557">
        <f t="shared" si="17"/>
        <v>19545.5</v>
      </c>
      <c r="I37" s="567">
        <v>92.58292187128734</v>
      </c>
      <c r="J37" s="558">
        <v>100.7508736909664</v>
      </c>
    </row>
    <row r="38" spans="1:10" s="488" customFormat="1" ht="12.75" x14ac:dyDescent="0.2">
      <c r="A38" s="495" t="s">
        <v>859</v>
      </c>
      <c r="B38" s="566" t="s">
        <v>780</v>
      </c>
      <c r="C38" s="557">
        <f t="shared" ref="C38:H38" si="18">+C134</f>
        <v>13198.089999999998</v>
      </c>
      <c r="D38" s="557">
        <f t="shared" si="18"/>
        <v>21333.39</v>
      </c>
      <c r="E38" s="557">
        <f t="shared" si="18"/>
        <v>17810.82</v>
      </c>
      <c r="F38" s="557">
        <f t="shared" si="18"/>
        <v>134.87</v>
      </c>
      <c r="G38" s="557">
        <f t="shared" si="18"/>
        <v>211.12</v>
      </c>
      <c r="H38" s="568">
        <f t="shared" si="18"/>
        <v>20247</v>
      </c>
      <c r="I38" s="569">
        <v>90.906171981486452</v>
      </c>
      <c r="J38" s="558">
        <v>101.406995344002</v>
      </c>
    </row>
    <row r="39" spans="1:10" s="488" customFormat="1" ht="12.75" x14ac:dyDescent="0.2">
      <c r="A39" s="495" t="s">
        <v>860</v>
      </c>
      <c r="B39" s="566" t="s">
        <v>780</v>
      </c>
      <c r="C39" s="557">
        <f t="shared" ref="C39:H39" si="19">C137</f>
        <v>13075.3</v>
      </c>
      <c r="D39" s="557">
        <f t="shared" si="19"/>
        <v>21557.9</v>
      </c>
      <c r="E39" s="557">
        <f t="shared" si="19"/>
        <v>18045.22</v>
      </c>
      <c r="F39" s="557">
        <f t="shared" si="19"/>
        <v>124.59</v>
      </c>
      <c r="G39" s="557">
        <f t="shared" si="19"/>
        <v>211.16000000000003</v>
      </c>
      <c r="H39" s="568">
        <f t="shared" si="19"/>
        <v>20135.5</v>
      </c>
      <c r="I39" s="563">
        <v>90.737077037856395</v>
      </c>
      <c r="J39" s="558">
        <v>101.99719869614444</v>
      </c>
    </row>
    <row r="40" spans="1:10" s="488" customFormat="1" ht="12.75" x14ac:dyDescent="0.2">
      <c r="A40" s="497" t="s">
        <v>861</v>
      </c>
      <c r="B40" s="564" t="s">
        <v>780</v>
      </c>
      <c r="C40" s="560">
        <f t="shared" ref="C40:H40" si="20">C140</f>
        <v>13069.49</v>
      </c>
      <c r="D40" s="560">
        <f t="shared" si="20"/>
        <v>21737.829999999998</v>
      </c>
      <c r="E40" s="560">
        <f t="shared" si="20"/>
        <v>17973.82</v>
      </c>
      <c r="F40" s="560">
        <f t="shared" si="20"/>
        <v>127.08999999999999</v>
      </c>
      <c r="G40" s="560">
        <f t="shared" si="20"/>
        <v>218.22</v>
      </c>
      <c r="H40" s="560">
        <f t="shared" si="20"/>
        <v>20175.5</v>
      </c>
      <c r="I40" s="565">
        <v>91.1945386418422</v>
      </c>
      <c r="J40" s="561">
        <v>103.31442725770121</v>
      </c>
    </row>
    <row r="41" spans="1:10" s="488" customFormat="1" ht="12.75" x14ac:dyDescent="0.2">
      <c r="A41" s="497" t="s">
        <v>862</v>
      </c>
      <c r="B41" s="564" t="s">
        <v>780</v>
      </c>
      <c r="C41" s="560">
        <v>13030.179999999998</v>
      </c>
      <c r="D41" s="560">
        <v>22185.84</v>
      </c>
      <c r="E41" s="560">
        <v>17780.98</v>
      </c>
      <c r="F41" s="560">
        <v>128.62</v>
      </c>
      <c r="G41" s="560">
        <v>217.01000000000002</v>
      </c>
      <c r="H41" s="560">
        <v>20143.3</v>
      </c>
      <c r="I41" s="565">
        <v>90.484857241766392</v>
      </c>
      <c r="J41" s="561">
        <v>102.15867124512071</v>
      </c>
    </row>
    <row r="42" spans="1:10" s="488" customFormat="1" ht="12.75" x14ac:dyDescent="0.2">
      <c r="A42" s="497" t="s">
        <v>863</v>
      </c>
      <c r="B42" s="564" t="s">
        <v>780</v>
      </c>
      <c r="C42" s="560">
        <f>130.3707*100</f>
        <v>13037.07</v>
      </c>
      <c r="D42" s="560">
        <f>211.7546*100</f>
        <v>21175.460000000003</v>
      </c>
      <c r="E42" s="560">
        <f>165.4013*100</f>
        <v>16540.129999999997</v>
      </c>
      <c r="F42" s="560">
        <f>1.1924*100</f>
        <v>119.24</v>
      </c>
      <c r="G42" s="560">
        <f>2.1178*100</f>
        <v>211.78</v>
      </c>
      <c r="H42" s="560">
        <f>193.286*100</f>
        <v>19328.599999999999</v>
      </c>
      <c r="I42" s="565">
        <v>91.619962818756747</v>
      </c>
      <c r="J42" s="561">
        <v>104.10123461515713</v>
      </c>
    </row>
    <row r="43" spans="1:10" s="488" customFormat="1" ht="12.75" x14ac:dyDescent="0.2">
      <c r="A43" s="497" t="s">
        <v>864</v>
      </c>
      <c r="B43" s="564" t="s">
        <v>780</v>
      </c>
      <c r="C43" s="560">
        <v>13104.859999999999</v>
      </c>
      <c r="D43" s="560">
        <v>20404.27</v>
      </c>
      <c r="E43" s="560">
        <v>15942.060000000001</v>
      </c>
      <c r="F43" s="560">
        <v>109.79</v>
      </c>
      <c r="G43" s="560">
        <v>206.75</v>
      </c>
      <c r="H43" s="560">
        <v>18986.400000000001</v>
      </c>
      <c r="I43" s="565">
        <v>94.665877387605335</v>
      </c>
      <c r="J43" s="561">
        <v>105.52265270436435</v>
      </c>
    </row>
    <row r="44" spans="1:10" s="488" customFormat="1" ht="12.75" x14ac:dyDescent="0.2">
      <c r="A44" s="495" t="s">
        <v>779</v>
      </c>
      <c r="B44" s="566" t="s">
        <v>780</v>
      </c>
      <c r="C44" s="557">
        <v>13290</v>
      </c>
      <c r="D44" s="557">
        <v>19659.899999999998</v>
      </c>
      <c r="E44" s="557">
        <v>14387.09</v>
      </c>
      <c r="F44" s="557">
        <v>110.66</v>
      </c>
      <c r="G44" s="557">
        <v>212.42000000000002</v>
      </c>
      <c r="H44" s="557">
        <v>18333.5</v>
      </c>
      <c r="I44" s="567">
        <v>97.666762285076331</v>
      </c>
      <c r="J44" s="558">
        <v>111.33068722293739</v>
      </c>
    </row>
    <row r="45" spans="1:10" s="488" customFormat="1" ht="12.75" x14ac:dyDescent="0.2">
      <c r="A45" s="495" t="s">
        <v>781</v>
      </c>
      <c r="B45" s="566" t="s">
        <v>780</v>
      </c>
      <c r="C45" s="557">
        <v>13369.999999999998</v>
      </c>
      <c r="D45" s="557">
        <v>21029.67</v>
      </c>
      <c r="E45" s="557">
        <v>14962.37</v>
      </c>
      <c r="F45" s="557">
        <v>109.27</v>
      </c>
      <c r="G45" s="557">
        <v>209.71</v>
      </c>
      <c r="H45" s="557">
        <v>18803.5</v>
      </c>
      <c r="I45" s="567">
        <v>97.297180162462823</v>
      </c>
      <c r="J45" s="558">
        <v>109.55482403206157</v>
      </c>
    </row>
    <row r="46" spans="1:10" s="488" customFormat="1" ht="12.75" x14ac:dyDescent="0.2">
      <c r="A46" s="495" t="s">
        <v>782</v>
      </c>
      <c r="B46" s="566" t="s">
        <v>780</v>
      </c>
      <c r="C46" s="557">
        <v>14123.349999999999</v>
      </c>
      <c r="D46" s="557">
        <v>21400.41</v>
      </c>
      <c r="E46" s="557">
        <v>15891.59</v>
      </c>
      <c r="F46" s="557">
        <v>117.86000000000001</v>
      </c>
      <c r="G46" s="557">
        <v>214.32999999999998</v>
      </c>
      <c r="H46" s="568">
        <v>19825.5</v>
      </c>
      <c r="I46" s="569">
        <v>97.359906798595816</v>
      </c>
      <c r="J46" s="558">
        <v>110.09621738045252</v>
      </c>
    </row>
    <row r="47" spans="1:10" s="488" customFormat="1" ht="12.75" x14ac:dyDescent="0.2">
      <c r="A47" s="495" t="s">
        <v>783</v>
      </c>
      <c r="B47" s="566" t="s">
        <v>780</v>
      </c>
      <c r="C47" s="557">
        <v>14406.23</v>
      </c>
      <c r="D47" s="557">
        <v>21357.239999999998</v>
      </c>
      <c r="E47" s="557">
        <v>15737.37</v>
      </c>
      <c r="F47" s="557">
        <v>119.6</v>
      </c>
      <c r="G47" s="557">
        <v>216.76999999999998</v>
      </c>
      <c r="H47" s="568">
        <v>19963.099999999999</v>
      </c>
      <c r="I47" s="563">
        <v>94.097281769640361</v>
      </c>
      <c r="J47" s="558">
        <v>107.02312528495297</v>
      </c>
    </row>
    <row r="48" spans="1:10" s="488" customFormat="1" ht="12.75" x14ac:dyDescent="0.2">
      <c r="A48" s="497" t="s">
        <v>784</v>
      </c>
      <c r="B48" s="564" t="s">
        <v>780</v>
      </c>
      <c r="C48" s="560">
        <v>14390</v>
      </c>
      <c r="D48" s="560">
        <v>20656.849999999999</v>
      </c>
      <c r="E48" s="560">
        <v>16294.52</v>
      </c>
      <c r="F48" s="560">
        <v>128.1</v>
      </c>
      <c r="G48" s="560">
        <v>216.8</v>
      </c>
      <c r="H48" s="560">
        <v>20272.900000000001</v>
      </c>
      <c r="I48" s="565">
        <v>106.43187186551209</v>
      </c>
      <c r="J48" s="561">
        <v>100.83665456465451</v>
      </c>
    </row>
    <row r="49" spans="1:20" s="488" customFormat="1" ht="12.75" x14ac:dyDescent="0.2">
      <c r="A49" s="497" t="s">
        <v>785</v>
      </c>
      <c r="B49" s="564" t="s">
        <v>780</v>
      </c>
      <c r="C49" s="560">
        <v>14525</v>
      </c>
      <c r="D49" s="560">
        <v>19487.469999999998</v>
      </c>
      <c r="E49" s="560">
        <v>16143.81</v>
      </c>
      <c r="F49" s="560">
        <v>141.41999999999999</v>
      </c>
      <c r="G49" s="560">
        <v>215.18</v>
      </c>
      <c r="H49" s="560">
        <v>20318.199999999997</v>
      </c>
      <c r="I49" s="565">
        <v>103.99824354685886</v>
      </c>
      <c r="J49" s="561">
        <v>99.569598998879201</v>
      </c>
    </row>
    <row r="50" spans="1:20" s="488" customFormat="1" ht="12.75" x14ac:dyDescent="0.2">
      <c r="A50" s="497" t="s">
        <v>786</v>
      </c>
      <c r="B50" s="564" t="s">
        <v>780</v>
      </c>
      <c r="C50" s="560">
        <v>14672.29</v>
      </c>
      <c r="D50" s="560">
        <v>19016.759999999998</v>
      </c>
      <c r="E50" s="560">
        <v>16456.440000000002</v>
      </c>
      <c r="F50" s="560">
        <v>145.36000000000001</v>
      </c>
      <c r="G50" s="560">
        <v>219.49999999999997</v>
      </c>
      <c r="H50" s="560">
        <v>20479.8</v>
      </c>
      <c r="I50" s="565">
        <v>104.27533515162888</v>
      </c>
      <c r="J50" s="561">
        <v>100.34129977116898</v>
      </c>
    </row>
    <row r="51" spans="1:20" s="488" customFormat="1" ht="12.75" x14ac:dyDescent="0.2">
      <c r="A51" s="497" t="s">
        <v>787</v>
      </c>
      <c r="B51" s="564" t="s">
        <v>780</v>
      </c>
      <c r="C51" s="560">
        <v>14980.000000000002</v>
      </c>
      <c r="D51" s="560">
        <v>18404.43</v>
      </c>
      <c r="E51" s="560">
        <v>15787.42</v>
      </c>
      <c r="F51" s="560">
        <v>128.66999999999999</v>
      </c>
      <c r="G51" s="560">
        <v>220.56</v>
      </c>
      <c r="H51" s="560">
        <v>20138.099999999999</v>
      </c>
      <c r="I51" s="565">
        <v>104.92592887814897</v>
      </c>
      <c r="J51" s="561">
        <v>101.46647746578715</v>
      </c>
    </row>
    <row r="52" spans="1:20" s="488" customFormat="1" ht="12.75" x14ac:dyDescent="0.2">
      <c r="A52" s="495" t="s">
        <v>788</v>
      </c>
      <c r="B52" s="566" t="s">
        <v>780</v>
      </c>
      <c r="C52" s="557">
        <v>15173.539999999999</v>
      </c>
      <c r="D52" s="557">
        <v>18953.27</v>
      </c>
      <c r="E52" s="557">
        <v>16203.06</v>
      </c>
      <c r="F52" s="557">
        <v>135.38</v>
      </c>
      <c r="G52" s="557">
        <v>233.94</v>
      </c>
      <c r="H52" s="557">
        <v>20588.2</v>
      </c>
      <c r="I52" s="567">
        <v>103.39506690573062</v>
      </c>
      <c r="J52" s="558">
        <v>102.11536279959098</v>
      </c>
      <c r="K52" s="562"/>
      <c r="L52" s="562"/>
      <c r="M52" s="562"/>
      <c r="N52" s="562"/>
    </row>
    <row r="53" spans="1:20" s="488" customFormat="1" ht="12.75" x14ac:dyDescent="0.2">
      <c r="A53" s="495" t="s">
        <v>789</v>
      </c>
      <c r="B53" s="566" t="s">
        <v>780</v>
      </c>
      <c r="C53" s="557">
        <v>15351</v>
      </c>
      <c r="D53" s="557">
        <v>19993.14</v>
      </c>
      <c r="E53" s="557">
        <v>17561.54</v>
      </c>
      <c r="F53" s="557">
        <v>137.28</v>
      </c>
      <c r="G53" s="557">
        <v>237.41</v>
      </c>
      <c r="H53" s="557">
        <v>21359.200000000001</v>
      </c>
      <c r="I53" s="567">
        <v>100.56595658365056</v>
      </c>
      <c r="J53" s="558">
        <v>100.42556040124025</v>
      </c>
      <c r="K53" s="562"/>
      <c r="L53" s="562"/>
      <c r="M53" s="562"/>
      <c r="N53" s="562"/>
    </row>
    <row r="54" spans="1:20" s="488" customFormat="1" ht="12.75" x14ac:dyDescent="0.2">
      <c r="A54" s="495" t="s">
        <v>790</v>
      </c>
      <c r="B54" s="566" t="s">
        <v>780</v>
      </c>
      <c r="C54" s="557">
        <v>15309.83</v>
      </c>
      <c r="D54" s="557">
        <v>20538.900000000001</v>
      </c>
      <c r="E54" s="557">
        <v>18036.510000000002</v>
      </c>
      <c r="F54" s="557">
        <v>135.94</v>
      </c>
      <c r="G54" s="557">
        <v>233.84</v>
      </c>
      <c r="H54" s="568">
        <v>21637.3</v>
      </c>
      <c r="I54" s="569">
        <v>98.107670284240115</v>
      </c>
      <c r="J54" s="558">
        <v>97.976235717136817</v>
      </c>
      <c r="K54" s="562"/>
      <c r="L54" s="562"/>
      <c r="M54" s="562"/>
      <c r="N54" s="562"/>
    </row>
    <row r="55" spans="1:20" s="488" customFormat="1" ht="12.75" x14ac:dyDescent="0.2">
      <c r="A55" s="495" t="s">
        <v>791</v>
      </c>
      <c r="B55" s="566" t="s">
        <v>780</v>
      </c>
      <c r="C55" s="557">
        <v>15285.480000000001</v>
      </c>
      <c r="D55" s="557">
        <v>20553.620000000003</v>
      </c>
      <c r="E55" s="557">
        <v>18248.57</v>
      </c>
      <c r="F55" s="557">
        <v>135.59</v>
      </c>
      <c r="G55" s="557">
        <v>238.54000000000002</v>
      </c>
      <c r="H55" s="568">
        <v>21768.600000000002</v>
      </c>
      <c r="I55" s="563">
        <v>98.033815036256101</v>
      </c>
      <c r="J55" s="558">
        <v>99.534587487550198</v>
      </c>
      <c r="K55" s="562"/>
      <c r="L55" s="562"/>
      <c r="M55" s="562"/>
      <c r="N55" s="562"/>
      <c r="O55" s="562"/>
      <c r="P55" s="562"/>
      <c r="Q55" s="562"/>
    </row>
    <row r="56" spans="1:20" s="488" customFormat="1" ht="12.75" x14ac:dyDescent="0.2">
      <c r="A56" s="497" t="s">
        <v>792</v>
      </c>
      <c r="B56" s="564" t="s">
        <v>780</v>
      </c>
      <c r="C56" s="560">
        <v>15597.25</v>
      </c>
      <c r="D56" s="560">
        <v>21953.91</v>
      </c>
      <c r="E56" s="560">
        <v>19222.05</v>
      </c>
      <c r="F56" s="560">
        <v>146.35</v>
      </c>
      <c r="G56" s="560">
        <v>239.37</v>
      </c>
      <c r="H56" s="560">
        <v>22673.200000000001</v>
      </c>
      <c r="I56" s="565">
        <v>95.053309979204187</v>
      </c>
      <c r="J56" s="561">
        <v>95.965992915351265</v>
      </c>
      <c r="K56" s="562"/>
      <c r="L56" s="562"/>
      <c r="M56" s="562"/>
      <c r="N56" s="562"/>
      <c r="O56" s="562"/>
      <c r="P56" s="562"/>
      <c r="Q56" s="562"/>
      <c r="R56" s="562"/>
      <c r="S56" s="562"/>
      <c r="T56" s="562"/>
    </row>
    <row r="57" spans="1:20" s="488" customFormat="1" ht="12.75" x14ac:dyDescent="0.2">
      <c r="A57" s="497" t="s">
        <v>793</v>
      </c>
      <c r="B57" s="564" t="s">
        <v>780</v>
      </c>
      <c r="C57" s="560">
        <v>15825.69</v>
      </c>
      <c r="D57" s="560">
        <v>20691.300000000003</v>
      </c>
      <c r="E57" s="560">
        <v>18310.32</v>
      </c>
      <c r="F57" s="560">
        <v>143.22999999999999</v>
      </c>
      <c r="G57" s="560">
        <v>229.89000000000001</v>
      </c>
      <c r="H57" s="560">
        <v>22260</v>
      </c>
      <c r="I57" s="565">
        <v>95.197477289152332</v>
      </c>
      <c r="J57" s="561">
        <v>96.510923735801441</v>
      </c>
      <c r="K57" s="562"/>
      <c r="L57" s="562"/>
      <c r="M57" s="562"/>
      <c r="N57" s="562"/>
      <c r="O57" s="562"/>
      <c r="P57" s="562"/>
      <c r="Q57" s="562"/>
      <c r="R57" s="562"/>
    </row>
    <row r="58" spans="1:20" s="488" customFormat="1" ht="12.75" x14ac:dyDescent="0.2">
      <c r="A58" s="497" t="s">
        <v>794</v>
      </c>
      <c r="B58" s="564" t="s">
        <v>780</v>
      </c>
      <c r="C58" s="560">
        <v>16923.830000000002</v>
      </c>
      <c r="D58" s="560">
        <v>22136.37</v>
      </c>
      <c r="E58" s="560">
        <v>19709.489999999998</v>
      </c>
      <c r="F58" s="560">
        <v>149</v>
      </c>
      <c r="G58" s="560">
        <v>233.21</v>
      </c>
      <c r="H58" s="560">
        <v>23613</v>
      </c>
      <c r="I58" s="565">
        <v>96.380171845512749</v>
      </c>
      <c r="J58" s="561">
        <v>98.253046275629728</v>
      </c>
      <c r="K58" s="562"/>
      <c r="L58" s="562"/>
      <c r="M58" s="562"/>
      <c r="N58" s="562"/>
    </row>
    <row r="59" spans="1:20" s="488" customFormat="1" ht="12.75" x14ac:dyDescent="0.2">
      <c r="A59" s="497" t="s">
        <v>795</v>
      </c>
      <c r="B59" s="564" t="s">
        <v>780</v>
      </c>
      <c r="C59" s="560">
        <v>18274.989999999998</v>
      </c>
      <c r="D59" s="560">
        <v>23186.39</v>
      </c>
      <c r="E59" s="560">
        <v>20899.28</v>
      </c>
      <c r="F59" s="560">
        <v>165.47</v>
      </c>
      <c r="G59" s="560">
        <v>261.32</v>
      </c>
      <c r="H59" s="560">
        <v>25351.1</v>
      </c>
      <c r="I59" s="565">
        <v>89.566549496577196</v>
      </c>
      <c r="J59" s="561">
        <v>91.088041694810954</v>
      </c>
      <c r="K59" s="562"/>
      <c r="L59" s="562"/>
      <c r="M59" s="562"/>
      <c r="N59" s="562"/>
    </row>
    <row r="60" spans="1:20" s="488" customFormat="1" ht="12.75" x14ac:dyDescent="0.2">
      <c r="A60" s="495" t="s">
        <v>796</v>
      </c>
      <c r="B60" s="566" t="s">
        <v>780</v>
      </c>
      <c r="C60" s="557">
        <v>17613</v>
      </c>
      <c r="D60" s="557">
        <v>23015.79</v>
      </c>
      <c r="E60" s="557">
        <v>19780.28</v>
      </c>
      <c r="F60" s="557">
        <v>158.97</v>
      </c>
      <c r="G60" s="557">
        <v>254.61999999999998</v>
      </c>
      <c r="H60" s="557">
        <v>24451.24725</v>
      </c>
      <c r="I60" s="567">
        <v>86.916783394351285</v>
      </c>
      <c r="J60" s="558">
        <v>88.718340931720391</v>
      </c>
      <c r="K60" s="562"/>
      <c r="L60" s="562"/>
      <c r="M60" s="562"/>
      <c r="N60" s="562"/>
      <c r="O60" s="562"/>
      <c r="P60" s="562"/>
      <c r="Q60" s="562"/>
      <c r="R60" s="562"/>
      <c r="S60" s="562"/>
      <c r="T60" s="562"/>
    </row>
    <row r="61" spans="1:20" s="488" customFormat="1" ht="12.75" x14ac:dyDescent="0.2">
      <c r="A61" s="495" t="s">
        <v>797</v>
      </c>
      <c r="B61" s="566" t="s">
        <v>780</v>
      </c>
      <c r="C61" s="557">
        <v>17654.239999999998</v>
      </c>
      <c r="D61" s="557">
        <v>22367.040000000001</v>
      </c>
      <c r="E61" s="557">
        <v>20070.22</v>
      </c>
      <c r="F61" s="557">
        <v>164.04000000000002</v>
      </c>
      <c r="G61" s="557">
        <v>255.60999999999999</v>
      </c>
      <c r="H61" s="557">
        <v>24543.100990399998</v>
      </c>
      <c r="I61" s="567">
        <v>89.257072171578443</v>
      </c>
      <c r="J61" s="558">
        <v>90.47</v>
      </c>
      <c r="K61" s="562"/>
      <c r="L61" s="562"/>
      <c r="M61" s="562"/>
      <c r="N61" s="562"/>
      <c r="O61" s="562"/>
      <c r="P61" s="562"/>
      <c r="Q61" s="562"/>
      <c r="R61" s="562"/>
      <c r="S61" s="562"/>
      <c r="T61" s="562"/>
    </row>
    <row r="62" spans="1:20" s="488" customFormat="1" ht="12.75" x14ac:dyDescent="0.2">
      <c r="A62" s="495" t="s">
        <v>798</v>
      </c>
      <c r="B62" s="566" t="s">
        <v>780</v>
      </c>
      <c r="C62" s="557">
        <v>18192.72</v>
      </c>
      <c r="D62" s="557">
        <v>22357.94</v>
      </c>
      <c r="E62" s="557">
        <v>19893.739999999998</v>
      </c>
      <c r="F62" s="557">
        <v>168.6</v>
      </c>
      <c r="G62" s="557">
        <v>258.02</v>
      </c>
      <c r="H62" s="568">
        <v>24802.317103199999</v>
      </c>
      <c r="I62" s="569">
        <v>88.98</v>
      </c>
      <c r="J62" s="558">
        <v>91.48</v>
      </c>
      <c r="K62" s="562"/>
      <c r="L62" s="562"/>
      <c r="M62" s="562"/>
      <c r="N62" s="562"/>
      <c r="O62" s="562"/>
      <c r="P62" s="562"/>
      <c r="Q62" s="562"/>
      <c r="R62" s="562"/>
      <c r="S62" s="562"/>
      <c r="T62" s="562"/>
    </row>
    <row r="63" spans="1:20" s="488" customFormat="1" ht="12.75" x14ac:dyDescent="0.2">
      <c r="A63" s="495" t="s">
        <v>799</v>
      </c>
      <c r="B63" s="566" t="s">
        <v>780</v>
      </c>
      <c r="C63" s="557">
        <v>18163.399999999998</v>
      </c>
      <c r="D63" s="557">
        <v>23845.82</v>
      </c>
      <c r="E63" s="557">
        <v>20366.62</v>
      </c>
      <c r="F63" s="557">
        <v>167.17</v>
      </c>
      <c r="G63" s="557">
        <v>254.67</v>
      </c>
      <c r="H63" s="568">
        <v>25116.89</v>
      </c>
      <c r="I63" s="563">
        <v>87.58</v>
      </c>
      <c r="J63" s="558">
        <v>90.82</v>
      </c>
      <c r="K63" s="562"/>
      <c r="L63" s="562"/>
      <c r="M63" s="562"/>
      <c r="N63" s="562"/>
      <c r="O63" s="562"/>
      <c r="P63" s="562"/>
      <c r="Q63" s="562"/>
      <c r="R63" s="562"/>
      <c r="S63" s="562"/>
      <c r="T63" s="562"/>
    </row>
    <row r="64" spans="1:20" s="488" customFormat="1" ht="12.75" x14ac:dyDescent="0.2">
      <c r="A64" s="497" t="s">
        <v>800</v>
      </c>
      <c r="B64" s="564" t="s">
        <v>780</v>
      </c>
      <c r="C64" s="560">
        <v>18862.36</v>
      </c>
      <c r="D64" s="560">
        <v>23266.720000000001</v>
      </c>
      <c r="E64" s="560">
        <v>20795.75</v>
      </c>
      <c r="F64" s="560">
        <v>173.81</v>
      </c>
      <c r="G64" s="560">
        <v>250.13</v>
      </c>
      <c r="H64" s="560">
        <v>25743.348927999999</v>
      </c>
      <c r="I64" s="565">
        <v>87.28</v>
      </c>
      <c r="J64" s="561">
        <v>92.45</v>
      </c>
      <c r="K64" s="562"/>
      <c r="L64" s="562"/>
      <c r="M64" s="562"/>
      <c r="N64" s="562"/>
      <c r="O64" s="562"/>
      <c r="P64" s="562"/>
      <c r="Q64" s="562"/>
      <c r="R64" s="562"/>
      <c r="S64" s="562"/>
      <c r="T64" s="562"/>
    </row>
    <row r="65" spans="1:20" s="488" customFormat="1" ht="12.75" x14ac:dyDescent="0.2">
      <c r="A65" s="497" t="s">
        <v>801</v>
      </c>
      <c r="B65" s="564" t="s">
        <v>780</v>
      </c>
      <c r="C65" s="560">
        <v>18622.919999999998</v>
      </c>
      <c r="D65" s="560">
        <v>22918.3</v>
      </c>
      <c r="E65" s="560">
        <v>20940.539999999997</v>
      </c>
      <c r="F65" s="560">
        <v>172.93</v>
      </c>
      <c r="G65" s="560">
        <v>246.74</v>
      </c>
      <c r="H65" s="560">
        <v>25619.551043999996</v>
      </c>
      <c r="I65" s="565">
        <v>86.16</v>
      </c>
      <c r="J65" s="561">
        <v>91.69</v>
      </c>
      <c r="K65" s="562"/>
      <c r="L65" s="562"/>
      <c r="M65" s="562"/>
      <c r="N65" s="562"/>
      <c r="O65" s="562"/>
      <c r="P65" s="562"/>
      <c r="Q65" s="562"/>
      <c r="R65" s="562"/>
      <c r="S65" s="562"/>
      <c r="T65" s="562"/>
    </row>
    <row r="66" spans="1:20" s="488" customFormat="1" ht="12.75" x14ac:dyDescent="0.2">
      <c r="A66" s="497" t="s">
        <v>802</v>
      </c>
      <c r="B66" s="564" t="s">
        <v>780</v>
      </c>
      <c r="C66" s="560">
        <v>18552.240000000002</v>
      </c>
      <c r="D66" s="560">
        <v>23873.02</v>
      </c>
      <c r="E66" s="560">
        <v>21797.030000000002</v>
      </c>
      <c r="F66" s="560">
        <v>175.53</v>
      </c>
      <c r="G66" s="560">
        <v>251.52</v>
      </c>
      <c r="H66" s="560">
        <v>26113.576456800001</v>
      </c>
      <c r="I66" s="565">
        <v>85.9</v>
      </c>
      <c r="J66" s="561">
        <v>91.7</v>
      </c>
      <c r="K66" s="562"/>
      <c r="L66" s="562"/>
      <c r="M66" s="562"/>
      <c r="N66" s="562"/>
      <c r="O66" s="562"/>
      <c r="P66" s="562"/>
      <c r="Q66" s="562"/>
      <c r="R66" s="562"/>
      <c r="S66" s="562"/>
      <c r="T66" s="562"/>
    </row>
    <row r="67" spans="1:20" s="488" customFormat="1" ht="12.75" x14ac:dyDescent="0.2">
      <c r="A67" s="497" t="s">
        <v>803</v>
      </c>
      <c r="B67" s="564" t="s">
        <v>780</v>
      </c>
      <c r="C67" s="560">
        <v>18640.82</v>
      </c>
      <c r="D67" s="560">
        <v>25435.4</v>
      </c>
      <c r="E67" s="560">
        <v>22942.19</v>
      </c>
      <c r="F67" s="560">
        <v>180.81</v>
      </c>
      <c r="G67" s="560">
        <v>254.67</v>
      </c>
      <c r="H67" s="560">
        <v>26847.813821399996</v>
      </c>
      <c r="I67" s="565">
        <v>84.49</v>
      </c>
      <c r="J67" s="561">
        <v>90.31</v>
      </c>
      <c r="K67" s="562"/>
      <c r="L67" s="562"/>
      <c r="M67" s="562"/>
      <c r="N67" s="562"/>
      <c r="O67" s="562"/>
      <c r="P67" s="562"/>
      <c r="Q67" s="562"/>
      <c r="R67" s="562"/>
      <c r="S67" s="562"/>
      <c r="T67" s="562"/>
    </row>
    <row r="68" spans="1:20" s="488" customFormat="1" ht="12.75" x14ac:dyDescent="0.2">
      <c r="A68" s="495" t="s">
        <v>804</v>
      </c>
      <c r="B68" s="566" t="s">
        <v>780</v>
      </c>
      <c r="C68" s="557">
        <f t="shared" ref="C68:H68" si="21">+C224</f>
        <v>19903.77</v>
      </c>
      <c r="D68" s="557">
        <f t="shared" si="21"/>
        <v>27322.899999999998</v>
      </c>
      <c r="E68" s="557">
        <f t="shared" si="21"/>
        <v>23309.309999999998</v>
      </c>
      <c r="F68" s="557">
        <f t="shared" si="21"/>
        <v>179.87</v>
      </c>
      <c r="G68" s="557">
        <f t="shared" si="21"/>
        <v>261.03000000000003</v>
      </c>
      <c r="H68" s="557">
        <f t="shared" si="21"/>
        <v>28207.821881699998</v>
      </c>
      <c r="I68" s="567">
        <v>79.59440737461604</v>
      </c>
      <c r="J68" s="558">
        <v>84.844850665085175</v>
      </c>
      <c r="K68" s="562"/>
      <c r="L68" s="562"/>
      <c r="M68" s="562"/>
      <c r="N68" s="562"/>
      <c r="O68" s="562"/>
      <c r="P68" s="562"/>
      <c r="Q68" s="562"/>
      <c r="R68" s="562"/>
      <c r="S68" s="562"/>
      <c r="T68" s="562"/>
    </row>
    <row r="69" spans="1:20" s="488" customFormat="1" ht="12.75" x14ac:dyDescent="0.2">
      <c r="A69" s="495" t="s">
        <v>805</v>
      </c>
      <c r="B69" s="566" t="s">
        <v>780</v>
      </c>
      <c r="C69" s="557">
        <f t="shared" ref="C69:H69" si="22">+C227</f>
        <v>20113.810000000001</v>
      </c>
      <c r="D69" s="557">
        <f t="shared" si="22"/>
        <v>27873.719999999998</v>
      </c>
      <c r="E69" s="557">
        <f t="shared" si="22"/>
        <v>23948.51</v>
      </c>
      <c r="F69" s="557">
        <f t="shared" si="22"/>
        <v>182.04</v>
      </c>
      <c r="G69" s="557">
        <f t="shared" si="22"/>
        <v>270.70999999999998</v>
      </c>
      <c r="H69" s="557">
        <f t="shared" si="22"/>
        <v>28690.740860200003</v>
      </c>
      <c r="I69" s="567">
        <v>77.994080843093357</v>
      </c>
      <c r="J69" s="558">
        <v>82.974914257789351</v>
      </c>
      <c r="K69" s="562"/>
      <c r="L69" s="562"/>
      <c r="M69" s="562"/>
      <c r="N69" s="562"/>
      <c r="O69" s="562"/>
      <c r="P69" s="562"/>
      <c r="Q69" s="562"/>
      <c r="R69" s="562"/>
      <c r="S69" s="562"/>
      <c r="T69" s="562"/>
    </row>
    <row r="70" spans="1:20" s="488" customFormat="1" ht="12.75" x14ac:dyDescent="0.2">
      <c r="A70" s="495" t="s">
        <v>806</v>
      </c>
      <c r="B70" s="566" t="s">
        <v>780</v>
      </c>
      <c r="C70" s="557">
        <f t="shared" ref="C70:H70" si="23">+C230</f>
        <v>19998.57</v>
      </c>
      <c r="D70" s="557">
        <f t="shared" si="23"/>
        <v>26896.080000000002</v>
      </c>
      <c r="E70" s="557">
        <f t="shared" si="23"/>
        <v>23210.34</v>
      </c>
      <c r="F70" s="557">
        <f t="shared" si="23"/>
        <v>178.84</v>
      </c>
      <c r="G70" s="557">
        <f t="shared" si="23"/>
        <v>268.97000000000003</v>
      </c>
      <c r="H70" s="568">
        <f t="shared" si="23"/>
        <v>28175.385315900003</v>
      </c>
      <c r="I70" s="569">
        <v>78.076900010631704</v>
      </c>
      <c r="J70" s="558">
        <v>83.453381951125237</v>
      </c>
      <c r="K70" s="562"/>
      <c r="L70" s="562"/>
      <c r="M70" s="562"/>
      <c r="N70" s="562"/>
      <c r="O70" s="562"/>
      <c r="P70" s="562"/>
      <c r="Q70" s="562"/>
      <c r="R70" s="562"/>
      <c r="S70" s="562"/>
      <c r="T70" s="562"/>
    </row>
    <row r="71" spans="1:20" s="488" customFormat="1" ht="12.75" x14ac:dyDescent="0.2">
      <c r="A71" s="495" t="s">
        <v>807</v>
      </c>
      <c r="B71" s="566" t="s">
        <v>780</v>
      </c>
      <c r="C71" s="557">
        <f t="shared" ref="C71:H71" si="24">+C233</f>
        <v>20043.379999999997</v>
      </c>
      <c r="D71" s="557">
        <f t="shared" si="24"/>
        <v>27059.570000000003</v>
      </c>
      <c r="E71" s="557">
        <f t="shared" si="24"/>
        <v>22686.1</v>
      </c>
      <c r="F71" s="557">
        <f t="shared" si="24"/>
        <v>174.15</v>
      </c>
      <c r="G71" s="557">
        <f t="shared" si="24"/>
        <v>269.34999999999997</v>
      </c>
      <c r="H71" s="568">
        <f t="shared" si="24"/>
        <v>28052.5142142</v>
      </c>
      <c r="I71" s="563">
        <v>78.916267833537717</v>
      </c>
      <c r="J71" s="558">
        <v>83.070125257448595</v>
      </c>
      <c r="K71" s="562"/>
      <c r="L71" s="562"/>
      <c r="M71" s="562"/>
      <c r="N71" s="562"/>
      <c r="O71" s="562"/>
      <c r="P71" s="562"/>
      <c r="Q71" s="562"/>
      <c r="R71" s="562"/>
      <c r="S71" s="562"/>
      <c r="T71" s="562"/>
    </row>
    <row r="72" spans="1:20" s="488" customFormat="1" ht="12.75" x14ac:dyDescent="0.2">
      <c r="A72" s="497" t="s">
        <v>808</v>
      </c>
      <c r="B72" s="564" t="s">
        <v>780</v>
      </c>
      <c r="C72" s="560">
        <f t="shared" ref="C72:H72" si="25">+C236</f>
        <v>29900</v>
      </c>
      <c r="D72" s="560">
        <f t="shared" si="25"/>
        <v>39252.720000000001</v>
      </c>
      <c r="E72" s="560">
        <f t="shared" si="25"/>
        <v>33402.79</v>
      </c>
      <c r="F72" s="560">
        <f t="shared" si="25"/>
        <v>244.97</v>
      </c>
      <c r="G72" s="560">
        <f t="shared" si="25"/>
        <v>394.32</v>
      </c>
      <c r="H72" s="560">
        <f t="shared" si="25"/>
        <v>41333.760000000002</v>
      </c>
      <c r="I72" s="565">
        <v>73.617636216054663</v>
      </c>
      <c r="J72" s="561">
        <v>85.98</v>
      </c>
      <c r="K72" s="562"/>
      <c r="L72" s="562"/>
      <c r="M72" s="562"/>
      <c r="N72" s="562"/>
      <c r="O72" s="562"/>
      <c r="P72" s="562"/>
      <c r="Q72" s="562"/>
      <c r="R72" s="562"/>
      <c r="S72" s="562"/>
      <c r="T72" s="562"/>
    </row>
    <row r="73" spans="1:20" s="488" customFormat="1" ht="12.75" x14ac:dyDescent="0.2">
      <c r="A73" s="497" t="s">
        <v>809</v>
      </c>
      <c r="B73" s="564" t="s">
        <v>780</v>
      </c>
      <c r="C73" s="560">
        <f t="shared" ref="C73:H73" si="26">+C239</f>
        <v>35987.82</v>
      </c>
      <c r="D73" s="560">
        <f t="shared" si="26"/>
        <v>43687.41</v>
      </c>
      <c r="E73" s="560">
        <f t="shared" si="26"/>
        <v>37627.07</v>
      </c>
      <c r="F73" s="560">
        <f t="shared" si="26"/>
        <v>263.5</v>
      </c>
      <c r="G73" s="560">
        <f t="shared" si="26"/>
        <v>456.22999999999996</v>
      </c>
      <c r="H73" s="560">
        <f t="shared" si="26"/>
        <v>47783.907639600002</v>
      </c>
      <c r="I73" s="565">
        <v>47.771137347913573</v>
      </c>
      <c r="J73" s="561">
        <v>64.97</v>
      </c>
      <c r="K73" s="562"/>
      <c r="L73" s="562"/>
      <c r="M73" s="562"/>
      <c r="N73" s="562"/>
      <c r="O73" s="562"/>
      <c r="P73" s="562"/>
      <c r="Q73" s="562"/>
      <c r="R73" s="562"/>
      <c r="S73" s="562"/>
      <c r="T73" s="562"/>
    </row>
    <row r="74" spans="1:20" s="488" customFormat="1" ht="12.75" x14ac:dyDescent="0.2">
      <c r="A74" s="497" t="s">
        <v>810</v>
      </c>
      <c r="B74" s="564" t="s">
        <v>780</v>
      </c>
      <c r="C74" s="560">
        <v>36290</v>
      </c>
      <c r="D74" s="560">
        <v>40227.47</v>
      </c>
      <c r="E74" s="560">
        <v>35578.720000000001</v>
      </c>
      <c r="F74" s="560">
        <v>250.76999999999998</v>
      </c>
      <c r="G74" s="560">
        <v>445.28999999999996</v>
      </c>
      <c r="H74" s="560">
        <v>46446.845199999996</v>
      </c>
      <c r="I74" s="565">
        <v>47.503057382157543</v>
      </c>
      <c r="J74" s="561">
        <v>77.88</v>
      </c>
      <c r="K74" s="562"/>
      <c r="L74" s="562"/>
      <c r="M74" s="562"/>
      <c r="N74" s="562"/>
      <c r="O74" s="562"/>
      <c r="P74" s="562"/>
      <c r="Q74" s="562"/>
      <c r="R74" s="562"/>
      <c r="S74" s="562"/>
      <c r="T74" s="562"/>
    </row>
    <row r="75" spans="1:20" s="488" customFormat="1" ht="12.75" x14ac:dyDescent="0.2">
      <c r="A75" s="497" t="s">
        <v>811</v>
      </c>
      <c r="B75" s="564" t="s">
        <v>780</v>
      </c>
      <c r="C75" s="560">
        <f t="shared" ref="C75:H75" si="27">+C19</f>
        <v>36311</v>
      </c>
      <c r="D75" s="560">
        <f t="shared" si="27"/>
        <v>43734.78</v>
      </c>
      <c r="E75" s="560">
        <f t="shared" si="27"/>
        <v>38693</v>
      </c>
      <c r="F75" s="560">
        <f t="shared" si="27"/>
        <v>273.85000000000002</v>
      </c>
      <c r="G75" s="560">
        <f t="shared" si="27"/>
        <v>438.61</v>
      </c>
      <c r="H75" s="560">
        <f t="shared" si="27"/>
        <v>48324.131240000002</v>
      </c>
      <c r="I75" s="565">
        <v>47.965994917107899</v>
      </c>
      <c r="J75" s="561">
        <v>80.97</v>
      </c>
      <c r="K75" s="562"/>
      <c r="L75" s="562"/>
      <c r="M75" s="562"/>
      <c r="N75" s="562"/>
      <c r="O75" s="562"/>
      <c r="P75" s="562"/>
      <c r="Q75" s="562"/>
      <c r="R75" s="562"/>
      <c r="S75" s="562"/>
      <c r="T75" s="562"/>
    </row>
    <row r="76" spans="1:20" s="488" customFormat="1" ht="12.75" x14ac:dyDescent="0.2">
      <c r="A76" s="495" t="s">
        <v>812</v>
      </c>
      <c r="B76" s="566" t="s">
        <v>780</v>
      </c>
      <c r="C76" s="557">
        <f t="shared" ref="C76:H76" si="28">C248</f>
        <v>32728.570000000003</v>
      </c>
      <c r="D76" s="557">
        <f t="shared" si="28"/>
        <v>40596.519999999997</v>
      </c>
      <c r="E76" s="557">
        <f t="shared" si="28"/>
        <v>35710.14</v>
      </c>
      <c r="F76" s="557">
        <f t="shared" si="28"/>
        <v>246.20000000000002</v>
      </c>
      <c r="G76" s="557">
        <f t="shared" si="28"/>
        <v>398.76</v>
      </c>
      <c r="H76" s="557">
        <f t="shared" si="28"/>
        <v>44027.454221100001</v>
      </c>
      <c r="I76" s="567">
        <v>49.006646615162211</v>
      </c>
      <c r="J76" s="558">
        <v>73.130127493062318</v>
      </c>
      <c r="K76" s="562"/>
      <c r="L76" s="562"/>
      <c r="M76" s="562"/>
      <c r="N76" s="562"/>
      <c r="O76" s="562"/>
      <c r="P76" s="562"/>
      <c r="Q76" s="562"/>
      <c r="R76" s="562"/>
      <c r="S76" s="562"/>
      <c r="T76" s="562"/>
    </row>
    <row r="77" spans="1:20" s="488" customFormat="1" ht="12.75" x14ac:dyDescent="0.2">
      <c r="A77" s="495" t="s">
        <v>813</v>
      </c>
      <c r="B77" s="566" t="s">
        <v>780</v>
      </c>
      <c r="C77" s="557">
        <f t="shared" ref="C77:H77" si="29">+C251</f>
        <v>30883</v>
      </c>
      <c r="D77" s="557">
        <f t="shared" si="29"/>
        <v>39303.25</v>
      </c>
      <c r="E77" s="557">
        <f t="shared" si="29"/>
        <v>33798.36</v>
      </c>
      <c r="F77" s="557">
        <f t="shared" si="29"/>
        <v>214.48999999999998</v>
      </c>
      <c r="G77" s="557">
        <f t="shared" si="29"/>
        <v>376.5</v>
      </c>
      <c r="H77" s="557">
        <f t="shared" si="29"/>
        <v>41230.966809999998</v>
      </c>
      <c r="I77" s="567">
        <v>55.743982162884727</v>
      </c>
      <c r="J77" s="558">
        <v>73.58565494896321</v>
      </c>
      <c r="K77" s="562"/>
      <c r="L77" s="562"/>
      <c r="M77" s="562"/>
      <c r="N77" s="562"/>
      <c r="O77" s="562"/>
      <c r="P77" s="562"/>
      <c r="Q77" s="562"/>
      <c r="R77" s="562"/>
      <c r="S77" s="562"/>
      <c r="T77" s="562"/>
    </row>
    <row r="78" spans="1:20" s="488" customFormat="1" ht="12.75" x14ac:dyDescent="0.2">
      <c r="A78" s="495" t="s">
        <v>814</v>
      </c>
      <c r="B78" s="566" t="s">
        <v>780</v>
      </c>
      <c r="C78" s="557">
        <f t="shared" ref="C78:H78" si="30">+C254</f>
        <v>32444.78</v>
      </c>
      <c r="D78" s="557">
        <f t="shared" si="30"/>
        <v>39400.94</v>
      </c>
      <c r="E78" s="557">
        <f t="shared" si="30"/>
        <v>34264.93</v>
      </c>
      <c r="F78" s="557">
        <f t="shared" si="30"/>
        <v>217.74</v>
      </c>
      <c r="G78" s="557">
        <f t="shared" si="30"/>
        <v>389.65999999999997</v>
      </c>
      <c r="H78" s="568">
        <f t="shared" si="30"/>
        <v>42542.893327199992</v>
      </c>
      <c r="I78" s="569">
        <v>54.56236778318079</v>
      </c>
      <c r="J78" s="558">
        <v>70.322509882424811</v>
      </c>
      <c r="K78" s="562"/>
      <c r="L78" s="562"/>
      <c r="M78" s="562"/>
      <c r="N78" s="562"/>
      <c r="O78" s="562"/>
      <c r="P78" s="562"/>
      <c r="Q78" s="562"/>
      <c r="R78" s="562"/>
      <c r="S78" s="562"/>
      <c r="T78" s="562"/>
    </row>
    <row r="79" spans="1:20" s="488" customFormat="1" ht="12.75" x14ac:dyDescent="0.2">
      <c r="A79" s="495" t="s">
        <v>815</v>
      </c>
      <c r="B79" s="566" t="s">
        <v>780</v>
      </c>
      <c r="C79" s="557">
        <f>+C257</f>
        <v>32392.329999999998</v>
      </c>
      <c r="D79" s="557">
        <f t="shared" ref="D79:H79" si="31">+D257</f>
        <v>41261.35</v>
      </c>
      <c r="E79" s="557">
        <f t="shared" si="31"/>
        <v>35874.509999999995</v>
      </c>
      <c r="F79" s="557">
        <f t="shared" si="31"/>
        <v>229.11</v>
      </c>
      <c r="G79" s="557">
        <f t="shared" si="31"/>
        <v>389.64</v>
      </c>
      <c r="H79" s="568">
        <f t="shared" si="31"/>
        <v>43459.817391099998</v>
      </c>
      <c r="I79" s="563">
        <v>54.122022563650717</v>
      </c>
      <c r="J79" s="558">
        <v>70.003412640162864</v>
      </c>
      <c r="K79" s="562"/>
      <c r="L79" s="562"/>
      <c r="M79" s="562"/>
      <c r="N79" s="562"/>
      <c r="O79" s="562"/>
      <c r="P79" s="562"/>
      <c r="Q79" s="562"/>
      <c r="R79" s="562"/>
      <c r="S79" s="562"/>
      <c r="T79" s="562"/>
    </row>
    <row r="80" spans="1:20" s="488" customFormat="1" ht="12.75" x14ac:dyDescent="0.2">
      <c r="A80" s="497" t="s">
        <v>816</v>
      </c>
      <c r="B80" s="564" t="s">
        <v>780</v>
      </c>
      <c r="C80" s="560">
        <f>+C260</f>
        <v>30118.37</v>
      </c>
      <c r="D80" s="560">
        <f t="shared" ref="D80:H80" si="32">+D260</f>
        <v>38051.549999999996</v>
      </c>
      <c r="E80" s="560">
        <f t="shared" si="32"/>
        <v>32603.140000000003</v>
      </c>
      <c r="F80" s="560">
        <f t="shared" si="32"/>
        <v>199.08999999999997</v>
      </c>
      <c r="G80" s="560">
        <f t="shared" si="32"/>
        <v>361.46</v>
      </c>
      <c r="H80" s="560">
        <f t="shared" si="32"/>
        <v>39859.554409100005</v>
      </c>
      <c r="I80" s="565">
        <v>56.243155359937496</v>
      </c>
      <c r="J80" s="561">
        <v>74.659275144332184</v>
      </c>
      <c r="K80" s="562"/>
      <c r="L80" s="562"/>
      <c r="M80" s="562"/>
      <c r="N80" s="562"/>
      <c r="O80" s="562"/>
      <c r="P80" s="562"/>
      <c r="Q80" s="562"/>
      <c r="R80" s="562"/>
      <c r="S80" s="562"/>
      <c r="T80" s="562"/>
    </row>
    <row r="81" spans="1:20" s="488" customFormat="1" ht="12.75" x14ac:dyDescent="0.2">
      <c r="A81" s="497" t="s">
        <v>817</v>
      </c>
      <c r="B81" s="564" t="s">
        <v>780</v>
      </c>
      <c r="C81" s="560">
        <f>+C263</f>
        <v>30570.65</v>
      </c>
      <c r="D81" s="560">
        <f t="shared" ref="D81:H81" si="33">+D263</f>
        <v>38622.959999999999</v>
      </c>
      <c r="E81" s="560">
        <f t="shared" si="33"/>
        <v>32693.78</v>
      </c>
      <c r="F81" s="560">
        <f t="shared" si="33"/>
        <v>189.87</v>
      </c>
      <c r="G81" s="560">
        <f t="shared" si="33"/>
        <v>366.35</v>
      </c>
      <c r="H81" s="560">
        <f t="shared" si="33"/>
        <v>40210.798770999994</v>
      </c>
      <c r="I81" s="565">
        <v>58.992054802626676</v>
      </c>
      <c r="J81" s="561">
        <v>76.029890477201405</v>
      </c>
      <c r="K81" s="562"/>
      <c r="L81" s="562"/>
      <c r="M81" s="562"/>
      <c r="N81" s="562"/>
      <c r="O81" s="562"/>
      <c r="P81" s="562"/>
      <c r="Q81" s="562"/>
      <c r="R81" s="562"/>
      <c r="S81" s="562"/>
      <c r="T81" s="562"/>
    </row>
    <row r="82" spans="1:20" s="488" customFormat="1" ht="12.75" x14ac:dyDescent="0.2">
      <c r="A82" s="497" t="s">
        <v>818</v>
      </c>
      <c r="B82" s="564" t="s">
        <v>780</v>
      </c>
      <c r="C82" s="560">
        <f>+C266</f>
        <v>29935.649999999998</v>
      </c>
      <c r="D82" s="560">
        <f t="shared" ref="D82:H82" si="34">+D266</f>
        <v>40046.42</v>
      </c>
      <c r="E82" s="560">
        <f t="shared" si="34"/>
        <v>33400.699999999997</v>
      </c>
      <c r="F82" s="560">
        <f t="shared" si="34"/>
        <v>210.23000000000002</v>
      </c>
      <c r="G82" s="560">
        <f t="shared" si="34"/>
        <v>357.59</v>
      </c>
      <c r="H82" s="560">
        <f t="shared" si="34"/>
        <v>40603.817590500003</v>
      </c>
      <c r="I82" s="565">
        <v>58.233491207279421</v>
      </c>
      <c r="J82" s="561">
        <v>73.518349842316013</v>
      </c>
      <c r="K82" s="562"/>
      <c r="L82" s="562"/>
      <c r="M82" s="562"/>
      <c r="N82" s="562"/>
      <c r="O82" s="562"/>
      <c r="P82" s="562"/>
      <c r="Q82" s="562"/>
      <c r="R82" s="562"/>
      <c r="S82" s="562"/>
      <c r="T82" s="562"/>
    </row>
    <row r="83" spans="1:20" s="488" customFormat="1" ht="12.75" x14ac:dyDescent="0.2">
      <c r="A83" s="497" t="s">
        <v>819</v>
      </c>
      <c r="B83" s="564" t="s">
        <v>780</v>
      </c>
      <c r="C83" s="560">
        <f>+C269</f>
        <v>29258.33</v>
      </c>
      <c r="D83" s="560">
        <f t="shared" ref="D83:H83" si="35">+D269</f>
        <v>36738.22</v>
      </c>
      <c r="E83" s="560">
        <f t="shared" si="35"/>
        <v>30456.46</v>
      </c>
      <c r="F83" s="560">
        <f t="shared" si="35"/>
        <v>187.02</v>
      </c>
      <c r="G83" s="560">
        <f t="shared" si="35"/>
        <v>341.96</v>
      </c>
      <c r="H83" s="560">
        <f t="shared" si="35"/>
        <v>38156.6659029</v>
      </c>
      <c r="I83" s="565">
        <v>60.741724785126486</v>
      </c>
      <c r="J83" s="561">
        <v>75.006921750312912</v>
      </c>
      <c r="K83" s="562"/>
      <c r="L83" s="562"/>
      <c r="M83" s="562"/>
      <c r="N83" s="562"/>
      <c r="O83" s="562"/>
      <c r="P83" s="562"/>
      <c r="Q83" s="562"/>
      <c r="R83" s="562"/>
      <c r="S83" s="562"/>
      <c r="T83" s="562"/>
    </row>
    <row r="84" spans="1:20" s="488" customFormat="1" ht="12.75" x14ac:dyDescent="0.2">
      <c r="A84" s="495" t="s">
        <v>820</v>
      </c>
      <c r="B84" s="566" t="s">
        <v>780</v>
      </c>
      <c r="C84" s="557">
        <f>+C272</f>
        <v>29634.719999999998</v>
      </c>
      <c r="D84" s="557">
        <f t="shared" ref="D84:H84" si="36">+D272</f>
        <v>38378.44</v>
      </c>
      <c r="E84" s="557">
        <f t="shared" si="36"/>
        <v>31986.239999999998</v>
      </c>
      <c r="F84" s="557">
        <f t="shared" si="36"/>
        <v>196.49</v>
      </c>
      <c r="G84" s="557">
        <f t="shared" si="36"/>
        <v>345.88</v>
      </c>
      <c r="H84" s="557">
        <f t="shared" si="36"/>
        <v>39284.970220799994</v>
      </c>
      <c r="I84" s="567">
        <v>60.699877146299109</v>
      </c>
      <c r="J84" s="558">
        <v>75.677120780485993</v>
      </c>
      <c r="K84" s="562"/>
      <c r="L84" s="562"/>
      <c r="M84" s="562"/>
      <c r="N84" s="562"/>
      <c r="O84" s="562"/>
      <c r="P84" s="562"/>
      <c r="Q84" s="562"/>
      <c r="R84" s="562"/>
      <c r="S84" s="562"/>
      <c r="T84" s="562"/>
    </row>
    <row r="85" spans="1:20" s="488" customFormat="1" ht="12.75" x14ac:dyDescent="0.2">
      <c r="A85" s="495" t="s">
        <v>821</v>
      </c>
      <c r="B85" s="566" t="s">
        <v>780</v>
      </c>
      <c r="C85" s="557">
        <f>+C275</f>
        <v>29996.739999999998</v>
      </c>
      <c r="D85" s="557">
        <f t="shared" ref="D85:H85" si="37">+D275</f>
        <v>41158.53</v>
      </c>
      <c r="E85" s="557">
        <f t="shared" si="37"/>
        <v>35174.18</v>
      </c>
      <c r="F85" s="557">
        <f t="shared" si="37"/>
        <v>208.1</v>
      </c>
      <c r="G85" s="557">
        <f t="shared" si="37"/>
        <v>350.95</v>
      </c>
      <c r="H85" s="557">
        <f t="shared" si="37"/>
        <v>41215.520760000007</v>
      </c>
      <c r="I85" s="567">
        <v>58.516290748047432</v>
      </c>
      <c r="J85" s="558">
        <v>72.737647532817192</v>
      </c>
      <c r="K85" s="562"/>
      <c r="L85" s="562"/>
      <c r="M85" s="562"/>
      <c r="N85" s="562"/>
      <c r="O85" s="562"/>
      <c r="P85" s="562"/>
      <c r="Q85" s="562"/>
      <c r="R85" s="562"/>
      <c r="S85" s="562"/>
      <c r="T85" s="562"/>
    </row>
    <row r="86" spans="1:20" s="488" customFormat="1" ht="12.75" x14ac:dyDescent="0.2">
      <c r="A86" s="495" t="s">
        <v>822</v>
      </c>
      <c r="B86" s="566" t="s">
        <v>780</v>
      </c>
      <c r="C86" s="557">
        <v>30260.969999999998</v>
      </c>
      <c r="D86" s="557">
        <v>40632.92</v>
      </c>
      <c r="E86" s="557">
        <v>35470.400000000001</v>
      </c>
      <c r="F86" s="557">
        <v>203.57</v>
      </c>
      <c r="G86" s="557">
        <v>341.01</v>
      </c>
      <c r="H86" s="557">
        <v>41486.882040899996</v>
      </c>
      <c r="I86" s="567">
        <v>57.850336476818384</v>
      </c>
      <c r="J86" s="558">
        <v>71.90512207600888</v>
      </c>
      <c r="K86" s="562"/>
      <c r="L86" s="562"/>
      <c r="M86" s="562"/>
      <c r="N86" s="562"/>
      <c r="O86" s="562"/>
      <c r="P86" s="562"/>
      <c r="Q86" s="562"/>
      <c r="R86" s="562"/>
      <c r="S86" s="562"/>
      <c r="T86" s="562"/>
    </row>
    <row r="87" spans="1:20" s="488" customFormat="1" ht="12.75" x14ac:dyDescent="0.2">
      <c r="A87" s="495" t="s">
        <v>823</v>
      </c>
      <c r="B87" s="566" t="s">
        <v>780</v>
      </c>
      <c r="C87" s="557">
        <v>30999.439999999999</v>
      </c>
      <c r="D87" s="557">
        <v>41731.450000000004</v>
      </c>
      <c r="E87" s="557">
        <v>36396.44</v>
      </c>
      <c r="F87" s="557">
        <v>198.14000000000001</v>
      </c>
      <c r="G87" s="557">
        <v>345.26</v>
      </c>
      <c r="H87" s="557">
        <v>42453.733079999998</v>
      </c>
      <c r="I87" s="567">
        <v>57.389745241024343</v>
      </c>
      <c r="J87" s="558">
        <v>71.38054517266221</v>
      </c>
      <c r="K87" s="562"/>
      <c r="L87" s="562"/>
      <c r="M87" s="562"/>
      <c r="N87" s="562"/>
      <c r="O87" s="562"/>
      <c r="P87" s="562"/>
      <c r="Q87" s="562"/>
      <c r="R87" s="562"/>
      <c r="S87" s="562"/>
      <c r="T87" s="562"/>
    </row>
    <row r="88" spans="1:20" s="488" customFormat="1" ht="12.75" x14ac:dyDescent="0.2">
      <c r="A88" s="497" t="s">
        <v>824</v>
      </c>
      <c r="B88" s="564" t="s">
        <v>780</v>
      </c>
      <c r="C88" s="560">
        <v>31519.09</v>
      </c>
      <c r="D88" s="560">
        <v>41636.720000000001</v>
      </c>
      <c r="E88" s="560">
        <v>36174.46</v>
      </c>
      <c r="F88" s="560">
        <v>197.39</v>
      </c>
      <c r="G88" s="560">
        <v>332.44</v>
      </c>
      <c r="H88" s="560">
        <v>42752.178485099997</v>
      </c>
      <c r="I88" s="565">
        <v>56.514159410771519</v>
      </c>
      <c r="J88" s="561">
        <v>73.153588282496287</v>
      </c>
      <c r="K88" s="562"/>
      <c r="L88" s="562"/>
      <c r="M88" s="562"/>
      <c r="N88" s="562"/>
      <c r="O88" s="562"/>
      <c r="P88" s="562"/>
      <c r="Q88" s="562"/>
      <c r="R88" s="562"/>
      <c r="S88" s="562"/>
      <c r="T88" s="562"/>
    </row>
    <row r="89" spans="1:20" s="488" customFormat="1" ht="12.75" x14ac:dyDescent="0.2">
      <c r="A89" s="495"/>
      <c r="B89" s="570"/>
      <c r="C89" s="571"/>
      <c r="D89" s="571"/>
      <c r="E89" s="571"/>
      <c r="F89" s="571"/>
      <c r="G89" s="571"/>
      <c r="H89" s="571"/>
      <c r="I89" s="558"/>
      <c r="J89" s="558"/>
      <c r="K89" s="562"/>
      <c r="L89" s="562"/>
      <c r="M89" s="562"/>
      <c r="N89" s="562"/>
      <c r="O89" s="562"/>
      <c r="P89" s="562"/>
      <c r="Q89" s="562"/>
      <c r="R89" s="562"/>
      <c r="S89" s="562"/>
      <c r="T89" s="562"/>
    </row>
    <row r="90" spans="1:20" s="488" customFormat="1" ht="12.75" x14ac:dyDescent="0.2">
      <c r="A90" s="507">
        <v>40179</v>
      </c>
      <c r="B90" s="572" t="s">
        <v>825</v>
      </c>
      <c r="C90" s="560">
        <v>11455.03</v>
      </c>
      <c r="D90" s="573">
        <v>18525.07</v>
      </c>
      <c r="E90" s="573">
        <v>16017</v>
      </c>
      <c r="F90" s="573">
        <v>126.82</v>
      </c>
      <c r="G90" s="573">
        <v>248.19</v>
      </c>
      <c r="H90" s="574">
        <v>17830.7</v>
      </c>
      <c r="I90" s="575">
        <v>97.476701166963409</v>
      </c>
      <c r="J90" s="561">
        <v>97.80239441512083</v>
      </c>
    </row>
    <row r="91" spans="1:20" s="488" customFormat="1" ht="12.75" x14ac:dyDescent="0.2">
      <c r="A91" s="507">
        <v>40210</v>
      </c>
      <c r="B91" s="572" t="s">
        <v>825</v>
      </c>
      <c r="C91" s="560">
        <f>114.4407*100</f>
        <v>11444.070000000002</v>
      </c>
      <c r="D91" s="573">
        <f>174.6594*100</f>
        <v>17465.940000000002</v>
      </c>
      <c r="E91" s="573">
        <f>155.3704*100</f>
        <v>15537.039999999999</v>
      </c>
      <c r="F91" s="573">
        <f>1.2802*100</f>
        <v>128.02000000000001</v>
      </c>
      <c r="G91" s="573">
        <f>2.4808*100</f>
        <v>248.07999999999998</v>
      </c>
      <c r="H91" s="574">
        <f>175.39*100</f>
        <v>17539</v>
      </c>
      <c r="I91" s="576">
        <v>98.804638715246725</v>
      </c>
      <c r="J91" s="561">
        <v>99.339820763579638</v>
      </c>
    </row>
    <row r="92" spans="1:20" s="488" customFormat="1" ht="12.75" x14ac:dyDescent="0.2">
      <c r="A92" s="507">
        <v>40238</v>
      </c>
      <c r="B92" s="572" t="s">
        <v>825</v>
      </c>
      <c r="C92" s="560">
        <v>11404.49</v>
      </c>
      <c r="D92" s="573">
        <v>17192.27</v>
      </c>
      <c r="E92" s="573">
        <v>15285.44</v>
      </c>
      <c r="F92" s="573">
        <v>122.25</v>
      </c>
      <c r="G92" s="573">
        <v>254.22</v>
      </c>
      <c r="H92" s="574">
        <v>17314.8</v>
      </c>
      <c r="I92" s="576">
        <v>99.099439271892791</v>
      </c>
      <c r="J92" s="561">
        <v>98.245812123715012</v>
      </c>
    </row>
    <row r="93" spans="1:20" s="488" customFormat="1" ht="12.75" x14ac:dyDescent="0.2">
      <c r="A93" s="507">
        <v>40269</v>
      </c>
      <c r="B93" s="572" t="s">
        <v>825</v>
      </c>
      <c r="C93" s="560">
        <v>11397.86</v>
      </c>
      <c r="D93" s="573">
        <v>17471.78</v>
      </c>
      <c r="E93" s="573">
        <v>15085.64</v>
      </c>
      <c r="F93" s="573">
        <v>121.08</v>
      </c>
      <c r="G93" s="573">
        <v>256.70999999999998</v>
      </c>
      <c r="H93" s="574">
        <v>17223.5</v>
      </c>
      <c r="I93" s="576">
        <v>98.895286330039411</v>
      </c>
      <c r="J93" s="561">
        <v>96.510027262341012</v>
      </c>
    </row>
    <row r="94" spans="1:20" s="488" customFormat="1" ht="12.75" x14ac:dyDescent="0.2">
      <c r="A94" s="507">
        <v>40299</v>
      </c>
      <c r="B94" s="572" t="s">
        <v>825</v>
      </c>
      <c r="C94" s="560">
        <v>11385.25</v>
      </c>
      <c r="D94" s="573">
        <v>16488.689999999999</v>
      </c>
      <c r="E94" s="573">
        <v>14023.78</v>
      </c>
      <c r="F94" s="573">
        <v>124.51</v>
      </c>
      <c r="G94" s="573">
        <v>246.57</v>
      </c>
      <c r="H94" s="574">
        <v>16738.599999999999</v>
      </c>
      <c r="I94" s="576">
        <v>101.45105354191925</v>
      </c>
      <c r="J94" s="561">
        <v>100.33393306712948</v>
      </c>
    </row>
    <row r="95" spans="1:20" s="488" customFormat="1" ht="12.75" x14ac:dyDescent="0.2">
      <c r="A95" s="507">
        <v>40330</v>
      </c>
      <c r="B95" s="572" t="s">
        <v>825</v>
      </c>
      <c r="C95" s="560">
        <v>11351.97</v>
      </c>
      <c r="D95" s="573">
        <v>17101.18</v>
      </c>
      <c r="E95" s="573">
        <v>13864.16</v>
      </c>
      <c r="F95" s="573">
        <v>128.18</v>
      </c>
      <c r="G95" s="573">
        <v>245.71</v>
      </c>
      <c r="H95" s="574">
        <v>16788.400000000001</v>
      </c>
      <c r="I95" s="576">
        <v>102.7593788968955</v>
      </c>
      <c r="J95" s="561">
        <v>102.4371557562167</v>
      </c>
    </row>
    <row r="96" spans="1:20" s="488" customFormat="1" ht="12.75" x14ac:dyDescent="0.2">
      <c r="A96" s="507">
        <v>40360</v>
      </c>
      <c r="B96" s="572" t="s">
        <v>825</v>
      </c>
      <c r="C96" s="560">
        <v>11256.18</v>
      </c>
      <c r="D96" s="573">
        <v>17572.59</v>
      </c>
      <c r="E96" s="573">
        <v>14706.2</v>
      </c>
      <c r="F96" s="573">
        <v>130.16999999999999</v>
      </c>
      <c r="G96" s="573">
        <v>243.01</v>
      </c>
      <c r="H96" s="574">
        <v>17092.7</v>
      </c>
      <c r="I96" s="576">
        <v>101.56710615208118</v>
      </c>
      <c r="J96" s="561">
        <v>101.02944248782543</v>
      </c>
    </row>
    <row r="97" spans="1:10" s="488" customFormat="1" ht="12.75" x14ac:dyDescent="0.2">
      <c r="A97" s="507">
        <v>40391</v>
      </c>
      <c r="B97" s="572" t="s">
        <v>825</v>
      </c>
      <c r="C97" s="560">
        <v>11268.97</v>
      </c>
      <c r="D97" s="573">
        <v>17421.259999999998</v>
      </c>
      <c r="E97" s="573">
        <v>14255.81</v>
      </c>
      <c r="F97" s="573">
        <v>133.58000000000001</v>
      </c>
      <c r="G97" s="573">
        <v>242.32</v>
      </c>
      <c r="H97" s="574">
        <v>17003.900000000001</v>
      </c>
      <c r="I97" s="576">
        <v>101.05865104795274</v>
      </c>
      <c r="J97" s="561">
        <v>100.67156147123728</v>
      </c>
    </row>
    <row r="98" spans="1:10" s="488" customFormat="1" ht="12.75" x14ac:dyDescent="0.2">
      <c r="A98" s="507">
        <v>40422</v>
      </c>
      <c r="B98" s="572" t="s">
        <v>825</v>
      </c>
      <c r="C98" s="560">
        <f>111.9277*100</f>
        <v>11192.77</v>
      </c>
      <c r="D98" s="573">
        <f>177.1144*100</f>
        <v>17711.439999999999</v>
      </c>
      <c r="E98" s="573">
        <f>100*152.3448</f>
        <v>15234.48</v>
      </c>
      <c r="F98" s="573">
        <f>100*1.3393</f>
        <v>133.93</v>
      </c>
      <c r="G98" s="573">
        <f>100*2.5113</f>
        <v>251.13</v>
      </c>
      <c r="H98" s="574">
        <f>100*174.181</f>
        <v>17418.100000000002</v>
      </c>
      <c r="I98" s="576">
        <v>100.52676276349007</v>
      </c>
      <c r="J98" s="561">
        <v>100.81817543271849</v>
      </c>
    </row>
    <row r="99" spans="1:10" s="488" customFormat="1" ht="12.75" x14ac:dyDescent="0.2">
      <c r="A99" s="507">
        <v>40452</v>
      </c>
      <c r="B99" s="572" t="s">
        <v>825</v>
      </c>
      <c r="C99" s="560">
        <f>100*111.7005</f>
        <v>11170.050000000001</v>
      </c>
      <c r="D99" s="573">
        <f>100*178.1064</f>
        <v>17810.64</v>
      </c>
      <c r="E99" s="573">
        <f>100*155.2972</f>
        <v>15529.720000000001</v>
      </c>
      <c r="F99" s="573">
        <f>100*1.3861</f>
        <v>138.61000000000001</v>
      </c>
      <c r="G99" s="573">
        <f>100*2.5252</f>
        <v>252.51999999999998</v>
      </c>
      <c r="H99" s="574">
        <f>100*175.569</f>
        <v>17556.899999999998</v>
      </c>
      <c r="I99" s="576">
        <v>98.533063054867256</v>
      </c>
      <c r="J99" s="561">
        <v>99.123703883466746</v>
      </c>
    </row>
    <row r="100" spans="1:10" s="488" customFormat="1" ht="12.75" x14ac:dyDescent="0.2">
      <c r="A100" s="507">
        <v>40483</v>
      </c>
      <c r="B100" s="572" t="s">
        <v>825</v>
      </c>
      <c r="C100" s="560">
        <f>100*111.5025</f>
        <v>11150.25</v>
      </c>
      <c r="D100" s="573">
        <f>100*173.5425</f>
        <v>17354.25</v>
      </c>
      <c r="E100" s="573">
        <f>100*146.4307</f>
        <v>14643.07</v>
      </c>
      <c r="F100" s="573">
        <f>100*1.3249</f>
        <v>132.49</v>
      </c>
      <c r="G100" s="573">
        <f>100*2.4377</f>
        <v>243.77</v>
      </c>
      <c r="H100" s="574">
        <f>100*170.128</f>
        <v>17012.8</v>
      </c>
      <c r="I100" s="576">
        <v>99.193580118946912</v>
      </c>
      <c r="J100" s="561">
        <v>100.92781169675078</v>
      </c>
    </row>
    <row r="101" spans="1:10" s="488" customFormat="1" ht="12.75" x14ac:dyDescent="0.2">
      <c r="A101" s="507">
        <v>40513</v>
      </c>
      <c r="B101" s="572" t="s">
        <v>825</v>
      </c>
      <c r="C101" s="560">
        <f>100*110.953</f>
        <v>11095.300000000001</v>
      </c>
      <c r="D101" s="573">
        <f>100*171.4113</f>
        <v>17141.13</v>
      </c>
      <c r="E101" s="573">
        <f>100*147.5619</f>
        <v>14756.19</v>
      </c>
      <c r="F101" s="573">
        <f>100*1.3611</f>
        <v>136.10999999999999</v>
      </c>
      <c r="G101" s="573">
        <f>100*2.4761</f>
        <v>247.61</v>
      </c>
      <c r="H101" s="574">
        <f>100*170.837</f>
        <v>17083.699999999997</v>
      </c>
      <c r="I101" s="576">
        <v>100.76812995037392</v>
      </c>
      <c r="J101" s="577">
        <v>103.00608372281606</v>
      </c>
    </row>
    <row r="102" spans="1:10" s="488" customFormat="1" ht="12.75" x14ac:dyDescent="0.2">
      <c r="A102" s="508">
        <v>40544</v>
      </c>
      <c r="B102" s="578" t="s">
        <v>825</v>
      </c>
      <c r="C102" s="571">
        <f>100*111.1007</f>
        <v>11110.07</v>
      </c>
      <c r="D102" s="571">
        <f>100*176.1446</f>
        <v>17614.46</v>
      </c>
      <c r="E102" s="571">
        <f>100*151.0747</f>
        <v>15107.470000000001</v>
      </c>
      <c r="F102" s="558">
        <f>100*1.3532</f>
        <v>135.32</v>
      </c>
      <c r="G102" s="558">
        <f>100*2.4295</f>
        <v>242.95</v>
      </c>
      <c r="H102" s="571">
        <f>100*173.532</f>
        <v>17353.2</v>
      </c>
      <c r="I102" s="563">
        <v>100.45169590781819</v>
      </c>
      <c r="J102" s="558">
        <v>103.02345462523176</v>
      </c>
    </row>
    <row r="103" spans="1:10" s="488" customFormat="1" ht="12.75" x14ac:dyDescent="0.2">
      <c r="A103" s="508">
        <v>40575</v>
      </c>
      <c r="B103" s="578" t="s">
        <v>825</v>
      </c>
      <c r="C103" s="579">
        <f>100*110.7909</f>
        <v>11079.09</v>
      </c>
      <c r="D103" s="579">
        <f>100*178.1795</f>
        <v>17817.95</v>
      </c>
      <c r="E103" s="579">
        <f>100*152.1491</f>
        <v>15214.91</v>
      </c>
      <c r="F103" s="580">
        <f>100*1.3562</f>
        <v>135.62</v>
      </c>
      <c r="G103" s="580">
        <f>100*2.4544</f>
        <v>245.44000000000003</v>
      </c>
      <c r="H103" s="568">
        <f>100*174.279</f>
        <v>17427.900000000001</v>
      </c>
      <c r="I103" s="569">
        <v>99.619227166707944</v>
      </c>
      <c r="J103" s="558">
        <v>103.40942441921233</v>
      </c>
    </row>
    <row r="104" spans="1:10" s="488" customFormat="1" ht="12.75" x14ac:dyDescent="0.2">
      <c r="A104" s="508">
        <v>40603</v>
      </c>
      <c r="B104" s="578" t="s">
        <v>825</v>
      </c>
      <c r="C104" s="571">
        <f>100*110.3929</f>
        <v>11039.289999999999</v>
      </c>
      <c r="D104" s="571">
        <f>100*177.7933</f>
        <v>17779.329999999998</v>
      </c>
      <c r="E104" s="571">
        <f>100*156.1287</f>
        <v>15612.87</v>
      </c>
      <c r="F104" s="558">
        <f>100*1.3328</f>
        <v>133.28</v>
      </c>
      <c r="G104" s="558">
        <f>100*2.4752</f>
        <v>247.52</v>
      </c>
      <c r="H104" s="571">
        <f>100*175.028</f>
        <v>17502.8</v>
      </c>
      <c r="I104" s="563">
        <v>99.372766855004784</v>
      </c>
      <c r="J104" s="558">
        <v>101.94406878116085</v>
      </c>
    </row>
    <row r="105" spans="1:10" s="488" customFormat="1" ht="12.75" x14ac:dyDescent="0.2">
      <c r="A105" s="508">
        <v>40634</v>
      </c>
      <c r="B105" s="578" t="s">
        <v>825</v>
      </c>
      <c r="C105" s="571">
        <f>100*109.8512</f>
        <v>10985.12</v>
      </c>
      <c r="D105" s="571">
        <f>100*182.8254</f>
        <v>18282.54</v>
      </c>
      <c r="E105" s="571">
        <f>100*162.9423</f>
        <v>16294.23</v>
      </c>
      <c r="F105" s="558">
        <f>100*1.3467</f>
        <v>134.66999999999999</v>
      </c>
      <c r="G105" s="558">
        <f>100*2.4822</f>
        <v>248.22000000000003</v>
      </c>
      <c r="H105" s="571">
        <f>100*178.064</f>
        <v>17806.399999999998</v>
      </c>
      <c r="I105" s="563">
        <v>98.182160422158589</v>
      </c>
      <c r="J105" s="558">
        <v>100.08286482098734</v>
      </c>
    </row>
    <row r="106" spans="1:10" s="488" customFormat="1" ht="12.75" x14ac:dyDescent="0.2">
      <c r="A106" s="508">
        <v>40664</v>
      </c>
      <c r="B106" s="578" t="s">
        <v>825</v>
      </c>
      <c r="C106" s="571">
        <f>100*109.7618</f>
        <v>10976.18</v>
      </c>
      <c r="D106" s="571">
        <f>100*181.4747</f>
        <v>18147.47</v>
      </c>
      <c r="E106" s="571">
        <f>100*157.9417</f>
        <v>15794.17</v>
      </c>
      <c r="F106" s="558">
        <f>100*1.3561</f>
        <v>135.61000000000001</v>
      </c>
      <c r="G106" s="558">
        <f>100*2.443</f>
        <v>244.3</v>
      </c>
      <c r="H106" s="571">
        <f>100*175.703</f>
        <v>17570.3</v>
      </c>
      <c r="I106" s="563">
        <v>98.78099902645738</v>
      </c>
      <c r="J106" s="558">
        <v>100.92832963264127</v>
      </c>
    </row>
    <row r="107" spans="1:10" s="488" customFormat="1" ht="12.75" x14ac:dyDescent="0.2">
      <c r="A107" s="508">
        <v>40695</v>
      </c>
      <c r="B107" s="578" t="s">
        <v>825</v>
      </c>
      <c r="C107" s="571">
        <f>100*109.6071</f>
        <v>10960.710000000001</v>
      </c>
      <c r="D107" s="571">
        <f>100*176.3523</f>
        <v>17635.230000000003</v>
      </c>
      <c r="E107" s="571">
        <f>100*158.8042</f>
        <v>15880.42</v>
      </c>
      <c r="F107" s="558">
        <f>100*1.3604</f>
        <v>136.04</v>
      </c>
      <c r="G107" s="558">
        <f>100*2.4543</f>
        <v>245.43</v>
      </c>
      <c r="H107" s="571">
        <f>100*175.42</f>
        <v>17542</v>
      </c>
      <c r="I107" s="563">
        <v>99.018009325349524</v>
      </c>
      <c r="J107" s="558">
        <v>100.83380950297216</v>
      </c>
    </row>
    <row r="108" spans="1:10" s="488" customFormat="1" ht="12.75" x14ac:dyDescent="0.2">
      <c r="A108" s="508">
        <v>40725</v>
      </c>
      <c r="B108" s="578" t="s">
        <v>825</v>
      </c>
      <c r="C108" s="571">
        <f>100*109.4881</f>
        <v>10948.81</v>
      </c>
      <c r="D108" s="571">
        <f>100*178.9145</f>
        <v>17891.45</v>
      </c>
      <c r="E108" s="571">
        <f>100*156.5406</f>
        <v>15654.060000000001</v>
      </c>
      <c r="F108" s="558">
        <f>100*1.4102</f>
        <v>141.01999999999998</v>
      </c>
      <c r="G108" s="558">
        <f>100*2.4909</f>
        <v>249.08999999999997</v>
      </c>
      <c r="H108" s="571">
        <f>100*175.072</f>
        <v>17507.2</v>
      </c>
      <c r="I108" s="563">
        <v>98.953706016470278</v>
      </c>
      <c r="J108" s="558">
        <v>100.87584522115596</v>
      </c>
    </row>
    <row r="109" spans="1:10" s="488" customFormat="1" ht="12.75" x14ac:dyDescent="0.2">
      <c r="A109" s="508">
        <v>40756</v>
      </c>
      <c r="B109" s="578" t="s">
        <v>825</v>
      </c>
      <c r="C109" s="571">
        <f>100*109.8934</f>
        <v>10989.34</v>
      </c>
      <c r="D109" s="571">
        <f>100*180.2966</f>
        <v>18029.66</v>
      </c>
      <c r="E109" s="571">
        <f>100*159.5432</f>
        <v>15954.320000000002</v>
      </c>
      <c r="F109" s="558">
        <f>100*1.4296</f>
        <v>142.96</v>
      </c>
      <c r="G109" s="558">
        <f>100*2.3934</f>
        <v>239.34000000000003</v>
      </c>
      <c r="H109" s="571">
        <f>100*176.746</f>
        <v>17674.600000000002</v>
      </c>
      <c r="I109" s="563">
        <v>98.774364429143859</v>
      </c>
      <c r="J109" s="558">
        <v>100.11473887879933</v>
      </c>
    </row>
    <row r="110" spans="1:10" s="488" customFormat="1" ht="12.75" x14ac:dyDescent="0.2">
      <c r="A110" s="508">
        <v>40787</v>
      </c>
      <c r="B110" s="578" t="s">
        <v>825</v>
      </c>
      <c r="C110" s="571">
        <f>100*110.192</f>
        <v>11019.199999999999</v>
      </c>
      <c r="D110" s="571">
        <f>100*171.9271</f>
        <v>17192.71</v>
      </c>
      <c r="E110" s="571">
        <f>100*149.3818</f>
        <v>14938.18</v>
      </c>
      <c r="F110" s="558">
        <f>100*1.4393</f>
        <v>143.93</v>
      </c>
      <c r="G110" s="558">
        <f>100*2.2474</f>
        <v>224.73999999999998</v>
      </c>
      <c r="H110" s="571">
        <f>100*172.079</f>
        <v>17207.900000000001</v>
      </c>
      <c r="I110" s="563">
        <v>100.90230451130111</v>
      </c>
      <c r="J110" s="558">
        <v>102.20177408812918</v>
      </c>
    </row>
    <row r="111" spans="1:10" s="488" customFormat="1" ht="12.75" x14ac:dyDescent="0.2">
      <c r="A111" s="508">
        <v>40817</v>
      </c>
      <c r="B111" s="578" t="s">
        <v>825</v>
      </c>
      <c r="C111" s="571">
        <f>100*110.1071</f>
        <v>11010.710000000001</v>
      </c>
      <c r="D111" s="571">
        <f>100*176.5677</f>
        <v>17656.77</v>
      </c>
      <c r="E111" s="571">
        <f>100*154.75</f>
        <v>15475</v>
      </c>
      <c r="F111" s="558">
        <f>100*1.3965</f>
        <v>139.65</v>
      </c>
      <c r="G111" s="558">
        <f>100*2.2686</f>
        <v>226.86</v>
      </c>
      <c r="H111" s="571">
        <f>100*174.619</f>
        <v>17461.900000000001</v>
      </c>
      <c r="I111" s="563">
        <v>101.95540021494374</v>
      </c>
      <c r="J111" s="558">
        <v>102.82545230323304</v>
      </c>
    </row>
    <row r="112" spans="1:10" s="488" customFormat="1" ht="12.75" x14ac:dyDescent="0.2">
      <c r="A112" s="508">
        <v>40848</v>
      </c>
      <c r="B112" s="578" t="s">
        <v>825</v>
      </c>
      <c r="C112" s="571">
        <f>100*113.9</f>
        <v>11390</v>
      </c>
      <c r="D112" s="571">
        <f>100*177.8036</f>
        <v>17780.36</v>
      </c>
      <c r="E112" s="571">
        <f>100*151.9996</f>
        <v>15199.96</v>
      </c>
      <c r="F112" s="558">
        <f>100*1.4621</f>
        <v>146.21</v>
      </c>
      <c r="G112" s="558">
        <f>100*2.1974</f>
        <v>219.74</v>
      </c>
      <c r="H112" s="571">
        <f>100*176.722</f>
        <v>17672.2</v>
      </c>
      <c r="I112" s="563">
        <v>101.35303517716314</v>
      </c>
      <c r="J112" s="558">
        <v>102.70673768290717</v>
      </c>
    </row>
    <row r="113" spans="1:10" s="488" customFormat="1" ht="12.75" x14ac:dyDescent="0.2">
      <c r="A113" s="508">
        <v>40878</v>
      </c>
      <c r="B113" s="578" t="s">
        <v>825</v>
      </c>
      <c r="C113" s="571">
        <f>100*113.9013</f>
        <v>11390.130000000001</v>
      </c>
      <c r="D113" s="571">
        <f>100*175.4479</f>
        <v>17544.79</v>
      </c>
      <c r="E113" s="571">
        <f>100*147.4225</f>
        <v>14742.250000000002</v>
      </c>
      <c r="F113" s="558">
        <f>100*1.4669</f>
        <v>146.69</v>
      </c>
      <c r="G113" s="558">
        <f>100*2.1529</f>
        <v>215.29</v>
      </c>
      <c r="H113" s="571">
        <f>100*174.869</f>
        <v>17486.900000000001</v>
      </c>
      <c r="I113" s="563">
        <v>100.68518523141519</v>
      </c>
      <c r="J113" s="558">
        <v>103.0608525344024</v>
      </c>
    </row>
    <row r="114" spans="1:10" s="488" customFormat="1" ht="12.75" x14ac:dyDescent="0.2">
      <c r="A114" s="507">
        <v>40909</v>
      </c>
      <c r="B114" s="572" t="s">
        <v>825</v>
      </c>
      <c r="C114" s="560">
        <f>100*113.9</f>
        <v>11390</v>
      </c>
      <c r="D114" s="573">
        <f>100*179.0793</f>
        <v>17907.93</v>
      </c>
      <c r="E114" s="573">
        <f>100*149.9949</f>
        <v>14999.49</v>
      </c>
      <c r="F114" s="573">
        <f>100*1.4919</f>
        <v>149.19</v>
      </c>
      <c r="G114" s="573">
        <f>100*2.2938</f>
        <v>229.38</v>
      </c>
      <c r="H114" s="574">
        <f>100*176.668</f>
        <v>17666.8</v>
      </c>
      <c r="I114" s="575">
        <v>100.62570665547324</v>
      </c>
      <c r="J114" s="561">
        <v>102.90358826368301</v>
      </c>
    </row>
    <row r="115" spans="1:10" s="488" customFormat="1" ht="12.75" x14ac:dyDescent="0.2">
      <c r="A115" s="507">
        <v>40940</v>
      </c>
      <c r="B115" s="572" t="s">
        <v>825</v>
      </c>
      <c r="C115" s="560">
        <f>121.1198*100</f>
        <v>12111.98</v>
      </c>
      <c r="D115" s="573">
        <f>192.8288*100</f>
        <v>19282.88</v>
      </c>
      <c r="E115" s="573">
        <f>163.2271*100</f>
        <v>16322.710000000001</v>
      </c>
      <c r="F115" s="573">
        <f>1.503*100</f>
        <v>150.29999999999998</v>
      </c>
      <c r="G115" s="573">
        <f>2.4754*100</f>
        <v>247.54</v>
      </c>
      <c r="H115" s="574">
        <f>188.465*100</f>
        <v>18846.5</v>
      </c>
      <c r="I115" s="576">
        <v>95.765126043324344</v>
      </c>
      <c r="J115" s="561">
        <v>98.271166782896259</v>
      </c>
    </row>
    <row r="116" spans="1:10" s="488" customFormat="1" ht="12.75" x14ac:dyDescent="0.2">
      <c r="A116" s="507">
        <v>40969</v>
      </c>
      <c r="B116" s="572" t="s">
        <v>825</v>
      </c>
      <c r="C116" s="560">
        <f>100*128.1878</f>
        <v>12818.78</v>
      </c>
      <c r="D116" s="573">
        <f>100*204.8762</f>
        <v>20487.620000000003</v>
      </c>
      <c r="E116" s="573">
        <f>100*171.182</f>
        <v>17118.199999999997</v>
      </c>
      <c r="F116" s="573">
        <f>100*1.5605</f>
        <v>156.05000000000001</v>
      </c>
      <c r="G116" s="573">
        <f>100*2.4961</f>
        <v>249.61</v>
      </c>
      <c r="H116" s="574">
        <f>100*198.574</f>
        <v>19857.400000000001</v>
      </c>
      <c r="I116" s="576">
        <v>90.147463971320335</v>
      </c>
      <c r="J116" s="561">
        <v>93.913433162728126</v>
      </c>
    </row>
    <row r="117" spans="1:10" s="488" customFormat="1" ht="12.75" x14ac:dyDescent="0.2">
      <c r="A117" s="507">
        <v>41000</v>
      </c>
      <c r="B117" s="572" t="s">
        <v>825</v>
      </c>
      <c r="C117" s="560">
        <f>130.7711*100</f>
        <v>13077.109999999999</v>
      </c>
      <c r="D117" s="573">
        <f>212.8823*100</f>
        <v>21288.23</v>
      </c>
      <c r="E117" s="573">
        <f>173.1606*100</f>
        <v>17316.059999999998</v>
      </c>
      <c r="F117" s="573">
        <f>1.632*100</f>
        <v>163.19999999999999</v>
      </c>
      <c r="G117" s="573">
        <f>2.4923*100</f>
        <v>249.23000000000002</v>
      </c>
      <c r="H117" s="574">
        <f>202.767*100</f>
        <v>20276.7</v>
      </c>
      <c r="I117" s="576">
        <v>88.37729363023962</v>
      </c>
      <c r="J117" s="561">
        <v>92.156496392122705</v>
      </c>
    </row>
    <row r="118" spans="1:10" s="488" customFormat="1" ht="12.75" x14ac:dyDescent="0.2">
      <c r="A118" s="507">
        <v>41030</v>
      </c>
      <c r="B118" s="572" t="s">
        <v>825</v>
      </c>
      <c r="C118" s="560">
        <f>100*132.1647</f>
        <v>13216.470000000001</v>
      </c>
      <c r="D118" s="573">
        <f>100*204.5447</f>
        <v>20454.47</v>
      </c>
      <c r="E118" s="573">
        <f>100*163.501</f>
        <v>16350.1</v>
      </c>
      <c r="F118" s="573">
        <f>100*1.6776</f>
        <v>167.76</v>
      </c>
      <c r="G118" s="573">
        <f>100*2.3555</f>
        <v>235.55</v>
      </c>
      <c r="H118" s="574">
        <f>100*199.716</f>
        <v>19971.600000000002</v>
      </c>
      <c r="I118" s="576">
        <v>89.437374215385134</v>
      </c>
      <c r="J118" s="561">
        <v>94.530066663386393</v>
      </c>
    </row>
    <row r="119" spans="1:10" s="488" customFormat="1" ht="12.75" x14ac:dyDescent="0.2">
      <c r="A119" s="507">
        <v>41061</v>
      </c>
      <c r="B119" s="572" t="s">
        <v>825</v>
      </c>
      <c r="C119" s="560">
        <f>100*133.3044</f>
        <v>13330.439999999999</v>
      </c>
      <c r="D119" s="573">
        <f>100*207.1217</f>
        <v>20712.170000000002</v>
      </c>
      <c r="E119" s="573">
        <f>100*165.9506</f>
        <v>16595.060000000001</v>
      </c>
      <c r="F119" s="573">
        <f>100*1.6824</f>
        <v>168.23999999999998</v>
      </c>
      <c r="G119" s="573">
        <f>100*2.3467</f>
        <v>234.67</v>
      </c>
      <c r="H119" s="574">
        <f>100*202.296</f>
        <v>20229.599999999999</v>
      </c>
      <c r="I119" s="576">
        <v>88.93051892021704</v>
      </c>
      <c r="J119" s="561">
        <v>95.843246101320688</v>
      </c>
    </row>
    <row r="120" spans="1:10" s="488" customFormat="1" ht="12.75" x14ac:dyDescent="0.2">
      <c r="A120" s="507">
        <v>41091</v>
      </c>
      <c r="B120" s="572" t="s">
        <v>825</v>
      </c>
      <c r="C120" s="560">
        <f>100*131.8008</f>
        <v>13180.080000000002</v>
      </c>
      <c r="D120" s="573">
        <f>100*207.1974</f>
        <v>20719.739999999998</v>
      </c>
      <c r="E120" s="573">
        <f>100*161.7459</f>
        <v>16174.59</v>
      </c>
      <c r="F120" s="573">
        <f>100*1.6861</f>
        <v>168.60999999999999</v>
      </c>
      <c r="G120" s="573">
        <f>100*2.3778</f>
        <v>237.78</v>
      </c>
      <c r="H120" s="574">
        <f>100*198.799</f>
        <v>19879.900000000001</v>
      </c>
      <c r="I120" s="576">
        <v>88.553297826235365</v>
      </c>
      <c r="J120" s="561">
        <v>96.208870429106398</v>
      </c>
    </row>
    <row r="121" spans="1:10" s="488" customFormat="1" ht="12.75" x14ac:dyDescent="0.2">
      <c r="A121" s="507">
        <v>41122</v>
      </c>
      <c r="B121" s="572" t="s">
        <v>825</v>
      </c>
      <c r="C121" s="560">
        <f>100*132.3798</f>
        <v>13237.98</v>
      </c>
      <c r="D121" s="573">
        <f>100*209.5837</f>
        <v>20958.37</v>
      </c>
      <c r="E121" s="573">
        <f>100*165.9778</f>
        <v>16597.78</v>
      </c>
      <c r="F121" s="573">
        <f>100*1.6837</f>
        <v>168.37</v>
      </c>
      <c r="G121" s="573">
        <f>100*2.3814</f>
        <v>238.14000000000001</v>
      </c>
      <c r="H121" s="574">
        <f>100*201.259</f>
        <v>20125.899999999998</v>
      </c>
      <c r="I121" s="576">
        <v>88.640958317443577</v>
      </c>
      <c r="J121" s="561">
        <v>95.193883878158232</v>
      </c>
    </row>
    <row r="122" spans="1:10" s="488" customFormat="1" ht="12.75" x14ac:dyDescent="0.2">
      <c r="A122" s="507">
        <v>41153</v>
      </c>
      <c r="B122" s="572" t="s">
        <v>825</v>
      </c>
      <c r="C122" s="560">
        <f>100*129.7943</f>
        <v>12979.429999999998</v>
      </c>
      <c r="D122" s="573">
        <f>100*210.9806</f>
        <v>21098.06</v>
      </c>
      <c r="E122" s="573">
        <f>100*167.9668</f>
        <v>16796.68</v>
      </c>
      <c r="F122" s="573">
        <f>100*1.6739</f>
        <v>167.39</v>
      </c>
      <c r="G122" s="573">
        <f>100*2.4508</f>
        <v>245.08</v>
      </c>
      <c r="H122" s="574">
        <f>100*200.167</f>
        <v>20016.7</v>
      </c>
      <c r="I122" s="576">
        <v>87.661781842633445</v>
      </c>
      <c r="J122" s="561">
        <v>93.645491772296978</v>
      </c>
    </row>
    <row r="123" spans="1:10" s="488" customFormat="1" ht="12.75" x14ac:dyDescent="0.2">
      <c r="A123" s="507">
        <v>41183</v>
      </c>
      <c r="B123" s="572" t="s">
        <v>825</v>
      </c>
      <c r="C123" s="560">
        <f>100*130.0272</f>
        <v>13002.72</v>
      </c>
      <c r="D123" s="573">
        <f>100*209.1032</f>
        <v>20910.32</v>
      </c>
      <c r="E123" s="573">
        <f>100*168.5738</f>
        <v>16857.38</v>
      </c>
      <c r="F123" s="573">
        <f>100*1.6352</f>
        <v>163.52000000000001</v>
      </c>
      <c r="G123" s="573">
        <f>100*2.4139</f>
        <v>241.39</v>
      </c>
      <c r="H123" s="574">
        <f>100*200.316</f>
        <v>20031.599999999999</v>
      </c>
      <c r="I123" s="576">
        <v>88.717099551970833</v>
      </c>
      <c r="J123" s="561">
        <v>94.298256364459959</v>
      </c>
    </row>
    <row r="124" spans="1:10" s="488" customFormat="1" ht="12.75" x14ac:dyDescent="0.2">
      <c r="A124" s="507">
        <v>41214</v>
      </c>
      <c r="B124" s="572" t="s">
        <v>825</v>
      </c>
      <c r="C124" s="560">
        <f>100*130.2507</f>
        <v>13025.07</v>
      </c>
      <c r="D124" s="573">
        <f>100*209.0068</f>
        <v>20900.68</v>
      </c>
      <c r="E124" s="573">
        <f>100*169.352</f>
        <v>16935.2</v>
      </c>
      <c r="F124" s="573">
        <f>100*1.5792</f>
        <v>157.91999999999999</v>
      </c>
      <c r="G124" s="573">
        <f>100*2.3749</f>
        <v>237.48999999999998</v>
      </c>
      <c r="H124" s="574">
        <f>100*199.91</f>
        <v>19991</v>
      </c>
      <c r="I124" s="576">
        <v>88.695471733352647</v>
      </c>
      <c r="J124" s="561">
        <v>95.436582581306311</v>
      </c>
    </row>
    <row r="125" spans="1:10" s="488" customFormat="1" ht="12.75" x14ac:dyDescent="0.2">
      <c r="A125" s="507">
        <v>41244</v>
      </c>
      <c r="B125" s="572" t="s">
        <v>825</v>
      </c>
      <c r="C125" s="560">
        <f>100*127.1608</f>
        <v>12716.08</v>
      </c>
      <c r="D125" s="573">
        <f>100*205.4728</f>
        <v>20547.28</v>
      </c>
      <c r="E125" s="573">
        <f>100*168.1257</f>
        <v>16812.57</v>
      </c>
      <c r="F125" s="573">
        <f>100*1.4799</f>
        <v>147.99</v>
      </c>
      <c r="G125" s="573">
        <f>100*2.3262</f>
        <v>232.62</v>
      </c>
      <c r="H125" s="574">
        <f>100*195.311</f>
        <v>19531.100000000002</v>
      </c>
      <c r="I125" s="576">
        <v>89.736369653857878</v>
      </c>
      <c r="J125" s="577">
        <v>97.209889474722971</v>
      </c>
    </row>
    <row r="126" spans="1:10" s="488" customFormat="1" ht="12.75" x14ac:dyDescent="0.2">
      <c r="A126" s="508">
        <v>41275</v>
      </c>
      <c r="B126" s="578" t="s">
        <v>825</v>
      </c>
      <c r="C126" s="571">
        <f>100*126.4512</f>
        <v>12645.12</v>
      </c>
      <c r="D126" s="571">
        <f>100*199.8308</f>
        <v>19983.080000000002</v>
      </c>
      <c r="E126" s="571">
        <f>100*171.55</f>
        <v>17155</v>
      </c>
      <c r="F126" s="558">
        <f>100*1.391</f>
        <v>139.1</v>
      </c>
      <c r="G126" s="558">
        <f>100*2.3724</f>
        <v>237.23999999999998</v>
      </c>
      <c r="H126" s="571">
        <f>100*194.904</f>
        <v>19490.400000000001</v>
      </c>
      <c r="I126" s="563">
        <v>90.66539967549032</v>
      </c>
      <c r="J126" s="558">
        <v>98.916489476126898</v>
      </c>
    </row>
    <row r="127" spans="1:10" s="488" customFormat="1" ht="12.75" x14ac:dyDescent="0.2">
      <c r="A127" s="508">
        <v>41306</v>
      </c>
      <c r="B127" s="578" t="s">
        <v>825</v>
      </c>
      <c r="C127" s="579">
        <f>100*127.4858</f>
        <v>12748.58</v>
      </c>
      <c r="D127" s="579">
        <f>100*193.3705</f>
        <v>19337.05</v>
      </c>
      <c r="E127" s="579">
        <f>100*167.5928</f>
        <v>16759.280000000002</v>
      </c>
      <c r="F127" s="580">
        <f>100*1.3795</f>
        <v>137.94999999999999</v>
      </c>
      <c r="G127" s="580">
        <f>100*2.3668</f>
        <v>236.68</v>
      </c>
      <c r="H127" s="568">
        <f>100*193.119</f>
        <v>19311.900000000001</v>
      </c>
      <c r="I127" s="569">
        <v>91.091292616552195</v>
      </c>
      <c r="J127" s="558">
        <v>99.515230546264931</v>
      </c>
    </row>
    <row r="128" spans="1:10" s="488" customFormat="1" ht="12.75" x14ac:dyDescent="0.2">
      <c r="A128" s="508">
        <v>41334</v>
      </c>
      <c r="B128" s="578" t="s">
        <v>825</v>
      </c>
      <c r="C128" s="571">
        <f>100*126.8528</f>
        <v>12685.28</v>
      </c>
      <c r="D128" s="571">
        <f>100*192.0425</f>
        <v>19204.25</v>
      </c>
      <c r="E128" s="571">
        <f>100*162.1432</f>
        <v>16214.320000000002</v>
      </c>
      <c r="F128" s="558">
        <f>100*1.3478</f>
        <v>134.78</v>
      </c>
      <c r="G128" s="558">
        <f>100*2.3306</f>
        <v>233.06</v>
      </c>
      <c r="H128" s="571">
        <f>100*190.028</f>
        <v>19002.8</v>
      </c>
      <c r="I128" s="563">
        <v>92.235750641962539</v>
      </c>
      <c r="J128" s="558">
        <v>100.57567496513036</v>
      </c>
    </row>
    <row r="129" spans="1:12" s="488" customFormat="1" ht="12.75" x14ac:dyDescent="0.2">
      <c r="A129" s="508">
        <v>41365</v>
      </c>
      <c r="B129" s="578" t="s">
        <v>825</v>
      </c>
      <c r="C129" s="571">
        <f>100*126.8005</f>
        <v>12680.05</v>
      </c>
      <c r="D129" s="571">
        <f>100*196.3506</f>
        <v>19635.059999999998</v>
      </c>
      <c r="E129" s="571">
        <f>100*166.0326</f>
        <v>16603.260000000002</v>
      </c>
      <c r="F129" s="558">
        <f>100*1.2941</f>
        <v>129.41</v>
      </c>
      <c r="G129" s="558">
        <f>100*2.3391</f>
        <v>233.91000000000003</v>
      </c>
      <c r="H129" s="571">
        <f>100*191.342</f>
        <v>19134.2</v>
      </c>
      <c r="I129" s="563">
        <v>92.644301480616534</v>
      </c>
      <c r="J129" s="558">
        <v>100.41594734986042</v>
      </c>
    </row>
    <row r="130" spans="1:12" s="488" customFormat="1" ht="12.75" x14ac:dyDescent="0.2">
      <c r="A130" s="508">
        <v>41395</v>
      </c>
      <c r="B130" s="578" t="s">
        <v>825</v>
      </c>
      <c r="C130" s="571">
        <f>100*126.476</f>
        <v>12647.6</v>
      </c>
      <c r="D130" s="571">
        <f>100*192.5913</f>
        <v>19259.129999999997</v>
      </c>
      <c r="E130" s="571">
        <f>100*164.9563</f>
        <v>16495.63</v>
      </c>
      <c r="F130" s="558">
        <v>125.24</v>
      </c>
      <c r="G130" s="558">
        <v>224.69</v>
      </c>
      <c r="H130" s="571">
        <f>100*189.558</f>
        <v>18955.8</v>
      </c>
      <c r="I130" s="563">
        <v>92.84034182028212</v>
      </c>
      <c r="J130" s="558">
        <v>102.77362504414114</v>
      </c>
    </row>
    <row r="131" spans="1:12" s="488" customFormat="1" ht="12.75" x14ac:dyDescent="0.2">
      <c r="A131" s="508">
        <v>41426</v>
      </c>
      <c r="B131" s="578" t="s">
        <v>825</v>
      </c>
      <c r="C131" s="571">
        <f>100*129.9606</f>
        <v>12996.06</v>
      </c>
      <c r="D131" s="571">
        <f>100*198.4433</f>
        <v>19844.329999999998</v>
      </c>
      <c r="E131" s="571">
        <f>100*169.878</f>
        <v>16987.8</v>
      </c>
      <c r="F131" s="558">
        <f>100*1.3135</f>
        <v>131.35</v>
      </c>
      <c r="G131" s="558">
        <f>100*2.162</f>
        <v>216.2</v>
      </c>
      <c r="H131" s="571">
        <f>100*195.455</f>
        <v>19545.5</v>
      </c>
      <c r="I131" s="563">
        <v>92.264122312963366</v>
      </c>
      <c r="J131" s="558">
        <v>103.4192127186695</v>
      </c>
    </row>
    <row r="132" spans="1:12" s="488" customFormat="1" ht="12.75" x14ac:dyDescent="0.2">
      <c r="A132" s="508">
        <v>41456</v>
      </c>
      <c r="B132" s="578" t="s">
        <v>825</v>
      </c>
      <c r="C132" s="571">
        <f>100*131.6</f>
        <v>13160</v>
      </c>
      <c r="D132" s="571">
        <f>100*200.4794</f>
        <v>20047.939999999999</v>
      </c>
      <c r="E132" s="571">
        <f>100*174.574</f>
        <v>17457.400000000001</v>
      </c>
      <c r="F132" s="558">
        <f>100*1.3435</f>
        <v>134.35</v>
      </c>
      <c r="G132" s="558">
        <f>100*2.1641</f>
        <v>216.41</v>
      </c>
      <c r="H132" s="571">
        <f>100*199.145</f>
        <v>19914.5</v>
      </c>
      <c r="I132" s="563">
        <v>91.128322962253463</v>
      </c>
      <c r="J132" s="558">
        <v>101.84612898187109</v>
      </c>
    </row>
    <row r="133" spans="1:12" s="488" customFormat="1" ht="12.75" x14ac:dyDescent="0.2">
      <c r="A133" s="508">
        <v>41487</v>
      </c>
      <c r="B133" s="578" t="s">
        <v>825</v>
      </c>
      <c r="C133" s="571">
        <f>100*133.0575</f>
        <v>13305.75</v>
      </c>
      <c r="D133" s="571">
        <f>100*206.4254</f>
        <v>20642.54</v>
      </c>
      <c r="E133" s="571">
        <f>100*176.228</f>
        <v>17622.8</v>
      </c>
      <c r="F133" s="558">
        <f>100*1.3555</f>
        <v>135.54999999999998</v>
      </c>
      <c r="G133" s="558">
        <f>100*1.9992</f>
        <v>199.92000000000002</v>
      </c>
      <c r="H133" s="571">
        <f>100*201.619</f>
        <v>20161.900000000001</v>
      </c>
      <c r="I133" s="563">
        <v>90.875826174037513</v>
      </c>
      <c r="J133" s="558">
        <v>99.493721266926755</v>
      </c>
    </row>
    <row r="134" spans="1:12" s="488" customFormat="1" ht="12.75" x14ac:dyDescent="0.2">
      <c r="A134" s="508">
        <v>41518</v>
      </c>
      <c r="B134" s="578" t="s">
        <v>825</v>
      </c>
      <c r="C134" s="571">
        <f>100*131.9809</f>
        <v>13198.089999999998</v>
      </c>
      <c r="D134" s="571">
        <f>100*213.3339</f>
        <v>21333.39</v>
      </c>
      <c r="E134" s="571">
        <f>100*178.1082</f>
        <v>17810.82</v>
      </c>
      <c r="F134" s="558">
        <f>100*1.3487</f>
        <v>134.87</v>
      </c>
      <c r="G134" s="558">
        <f>100*2.1112</f>
        <v>211.12</v>
      </c>
      <c r="H134" s="571">
        <f>100*202.47</f>
        <v>20247</v>
      </c>
      <c r="I134" s="563">
        <v>90.714366808168378</v>
      </c>
      <c r="J134" s="558">
        <v>100.11421792740587</v>
      </c>
    </row>
    <row r="135" spans="1:12" s="488" customFormat="1" ht="12.75" x14ac:dyDescent="0.2">
      <c r="A135" s="508">
        <v>41548</v>
      </c>
      <c r="B135" s="578" t="s">
        <v>825</v>
      </c>
      <c r="C135" s="571">
        <f>100*131.0065</f>
        <v>13100.65</v>
      </c>
      <c r="D135" s="571">
        <f>100*210.0755</f>
        <v>21007.55</v>
      </c>
      <c r="E135" s="571">
        <f>100*179.9112</f>
        <v>17991.120000000003</v>
      </c>
      <c r="F135" s="558">
        <f>100*1.331</f>
        <v>133.1</v>
      </c>
      <c r="G135" s="558">
        <f>100*2.1392</f>
        <v>213.92000000000002</v>
      </c>
      <c r="H135" s="571">
        <f>100*201.493</f>
        <v>20149.3</v>
      </c>
      <c r="I135" s="563">
        <v>90.309007255732936</v>
      </c>
      <c r="J135" s="558">
        <v>99.629149774994175</v>
      </c>
    </row>
    <row r="136" spans="1:12" s="488" customFormat="1" ht="12.75" x14ac:dyDescent="0.2">
      <c r="A136" s="508">
        <v>41579</v>
      </c>
      <c r="B136" s="578" t="s">
        <v>825</v>
      </c>
      <c r="C136" s="571">
        <f>100*131.2</f>
        <v>13119.999999999998</v>
      </c>
      <c r="D136" s="571">
        <f>100*214.6432</f>
        <v>21464.32</v>
      </c>
      <c r="E136" s="571">
        <f>100*178.655</f>
        <v>17865.5</v>
      </c>
      <c r="F136" s="558">
        <f>100*1.2794</f>
        <v>127.94000000000001</v>
      </c>
      <c r="G136" s="558">
        <f>100*2.1019</f>
        <v>210.19</v>
      </c>
      <c r="H136" s="571">
        <f>100*201.343</f>
        <v>20134.3</v>
      </c>
      <c r="I136" s="563">
        <v>90.938205111147013</v>
      </c>
      <c r="J136" s="558">
        <v>100.3075765753477</v>
      </c>
    </row>
    <row r="137" spans="1:12" s="488" customFormat="1" ht="12.75" x14ac:dyDescent="0.2">
      <c r="A137" s="508">
        <v>41609</v>
      </c>
      <c r="B137" s="578" t="s">
        <v>825</v>
      </c>
      <c r="C137" s="571">
        <f>100*130.753</f>
        <v>13075.3</v>
      </c>
      <c r="D137" s="571">
        <f>100*215.579</f>
        <v>21557.9</v>
      </c>
      <c r="E137" s="571">
        <f>100*180.4522</f>
        <v>18045.22</v>
      </c>
      <c r="F137" s="558">
        <f>100*1.2459</f>
        <v>124.59</v>
      </c>
      <c r="G137" s="558">
        <f>100*2.1116</f>
        <v>211.16000000000003</v>
      </c>
      <c r="H137" s="571">
        <f>100*201.355</f>
        <v>20135.5</v>
      </c>
      <c r="I137" s="563">
        <v>90.96401874668922</v>
      </c>
      <c r="J137" s="558">
        <v>100.29691133947982</v>
      </c>
    </row>
    <row r="138" spans="1:12" s="488" customFormat="1" ht="12.75" x14ac:dyDescent="0.2">
      <c r="A138" s="507">
        <v>41640</v>
      </c>
      <c r="B138" s="572" t="s">
        <v>825</v>
      </c>
      <c r="C138" s="560">
        <f>100*130.6957</f>
        <v>13069.57</v>
      </c>
      <c r="D138" s="573">
        <f>100*215.4584</f>
        <v>21545.84</v>
      </c>
      <c r="E138" s="573">
        <f>100*177.1515</f>
        <v>17715.150000000001</v>
      </c>
      <c r="F138" s="573">
        <f>100*1.2721</f>
        <v>127.21000000000001</v>
      </c>
      <c r="G138" s="573">
        <f>100*2.089</f>
        <v>208.9</v>
      </c>
      <c r="H138" s="574">
        <f>100*200.513</f>
        <v>20051.3</v>
      </c>
      <c r="I138" s="575">
        <v>91.424303407647102</v>
      </c>
      <c r="J138" s="561">
        <v>101.38822897907178</v>
      </c>
      <c r="K138" s="562"/>
      <c r="L138" s="562"/>
    </row>
    <row r="139" spans="1:12" s="488" customFormat="1" ht="12.75" x14ac:dyDescent="0.2">
      <c r="A139" s="507">
        <v>41671</v>
      </c>
      <c r="B139" s="572" t="s">
        <v>825</v>
      </c>
      <c r="C139" s="560">
        <f>100*131.0008</f>
        <v>13100.08</v>
      </c>
      <c r="D139" s="573">
        <f>100*218.5683</f>
        <v>21856.829999999998</v>
      </c>
      <c r="E139" s="573">
        <f>100*179.5628</f>
        <v>17956.280000000002</v>
      </c>
      <c r="F139" s="573">
        <f>100*1.2859</f>
        <v>128.59</v>
      </c>
      <c r="G139" s="573">
        <f>100*2.1131</f>
        <v>211.31000000000003</v>
      </c>
      <c r="H139" s="574">
        <f>100*202.392</f>
        <v>20239.2</v>
      </c>
      <c r="I139" s="576">
        <v>91.280611263306682</v>
      </c>
      <c r="J139" s="561">
        <v>101.38721821748223</v>
      </c>
      <c r="K139" s="562"/>
      <c r="L139" s="562"/>
    </row>
    <row r="140" spans="1:12" s="488" customFormat="1" ht="12.75" x14ac:dyDescent="0.2">
      <c r="A140" s="507">
        <v>41699</v>
      </c>
      <c r="B140" s="572" t="s">
        <v>825</v>
      </c>
      <c r="C140" s="560">
        <v>13069.49</v>
      </c>
      <c r="D140" s="573">
        <v>21737.829999999998</v>
      </c>
      <c r="E140" s="573">
        <v>17973.82</v>
      </c>
      <c r="F140" s="573">
        <v>127.08999999999999</v>
      </c>
      <c r="G140" s="573">
        <v>218.22</v>
      </c>
      <c r="H140" s="574">
        <v>20175.5</v>
      </c>
      <c r="I140" s="576">
        <v>90.878701254572817</v>
      </c>
      <c r="J140" s="561">
        <v>100.56047732558784</v>
      </c>
      <c r="K140" s="562"/>
      <c r="L140" s="562"/>
    </row>
    <row r="141" spans="1:12" s="488" customFormat="1" ht="12.75" x14ac:dyDescent="0.2">
      <c r="A141" s="507">
        <v>41730</v>
      </c>
      <c r="B141" s="572" t="s">
        <v>825</v>
      </c>
      <c r="C141" s="560">
        <v>13059.62</v>
      </c>
      <c r="D141" s="573">
        <v>21972.81</v>
      </c>
      <c r="E141" s="573">
        <v>18031.419999999998</v>
      </c>
      <c r="F141" s="573">
        <v>127.53000000000002</v>
      </c>
      <c r="G141" s="573">
        <v>216.13000000000002</v>
      </c>
      <c r="H141" s="574">
        <v>20238.399999999998</v>
      </c>
      <c r="I141" s="576">
        <v>90.510348846534384</v>
      </c>
      <c r="J141" s="561">
        <v>100.0268081023203</v>
      </c>
      <c r="K141" s="562"/>
      <c r="L141" s="562"/>
    </row>
    <row r="142" spans="1:12" s="488" customFormat="1" ht="12.75" x14ac:dyDescent="0.2">
      <c r="A142" s="507">
        <v>41760</v>
      </c>
      <c r="B142" s="572" t="s">
        <v>825</v>
      </c>
      <c r="C142" s="560">
        <v>13046.31</v>
      </c>
      <c r="D142" s="573">
        <v>21822.559999999998</v>
      </c>
      <c r="E142" s="573">
        <v>17749.5</v>
      </c>
      <c r="F142" s="573">
        <v>128.51</v>
      </c>
      <c r="G142" s="573">
        <v>221.42</v>
      </c>
      <c r="H142" s="574">
        <v>20097.5</v>
      </c>
      <c r="I142" s="576">
        <v>90.279485647504529</v>
      </c>
      <c r="J142" s="561">
        <v>99.81670692710324</v>
      </c>
      <c r="K142" s="562"/>
      <c r="L142" s="562"/>
    </row>
    <row r="143" spans="1:12" s="488" customFormat="1" ht="12.75" x14ac:dyDescent="0.2">
      <c r="A143" s="507">
        <v>41791</v>
      </c>
      <c r="B143" s="572" t="s">
        <v>825</v>
      </c>
      <c r="C143" s="560">
        <v>13030.179999999998</v>
      </c>
      <c r="D143" s="573">
        <v>22185.84</v>
      </c>
      <c r="E143" s="573">
        <v>17780.98</v>
      </c>
      <c r="F143" s="573">
        <v>128.62</v>
      </c>
      <c r="G143" s="573">
        <v>217.01000000000002</v>
      </c>
      <c r="H143" s="574">
        <v>20143.3</v>
      </c>
      <c r="I143" s="576">
        <v>90.664737231260204</v>
      </c>
      <c r="J143" s="561">
        <v>101.22816303983444</v>
      </c>
      <c r="K143" s="562"/>
      <c r="L143" s="562"/>
    </row>
    <row r="144" spans="1:12" s="488" customFormat="1" ht="12.75" x14ac:dyDescent="0.2">
      <c r="A144" s="507">
        <v>41821</v>
      </c>
      <c r="B144" s="572" t="s">
        <v>825</v>
      </c>
      <c r="C144" s="560">
        <v>13021.019999999999</v>
      </c>
      <c r="D144" s="573">
        <v>22032.87</v>
      </c>
      <c r="E144" s="573">
        <v>17446.86</v>
      </c>
      <c r="F144" s="573">
        <v>126.71</v>
      </c>
      <c r="G144" s="573">
        <v>216.78000000000003</v>
      </c>
      <c r="H144" s="574">
        <v>19939.2</v>
      </c>
      <c r="I144" s="576">
        <v>90.594870084157463</v>
      </c>
      <c r="J144" s="561">
        <v>101.95317725637982</v>
      </c>
      <c r="K144" s="562"/>
      <c r="L144" s="562"/>
    </row>
    <row r="145" spans="1:17" s="488" customFormat="1" ht="12.75" x14ac:dyDescent="0.2">
      <c r="A145" s="507">
        <v>41852</v>
      </c>
      <c r="B145" s="572" t="s">
        <v>825</v>
      </c>
      <c r="C145" s="560">
        <v>13019.62</v>
      </c>
      <c r="D145" s="573">
        <v>21592.39</v>
      </c>
      <c r="E145" s="573">
        <v>17162.46</v>
      </c>
      <c r="F145" s="573">
        <v>125.53</v>
      </c>
      <c r="G145" s="573">
        <v>215.20000000000002</v>
      </c>
      <c r="H145" s="574">
        <v>19768.8</v>
      </c>
      <c r="I145" s="576">
        <v>91.51660679259605</v>
      </c>
      <c r="J145" s="561">
        <v>102.28115028888334</v>
      </c>
      <c r="K145" s="562"/>
      <c r="L145" s="562"/>
    </row>
    <row r="146" spans="1:17" s="488" customFormat="1" ht="12.75" x14ac:dyDescent="0.2">
      <c r="A146" s="507">
        <v>41883</v>
      </c>
      <c r="B146" s="572" t="s">
        <v>825</v>
      </c>
      <c r="C146" s="560">
        <f>130.3707*100</f>
        <v>13037.07</v>
      </c>
      <c r="D146" s="573">
        <f>211.7546*100</f>
        <v>21175.460000000003</v>
      </c>
      <c r="E146" s="573">
        <f>165.4013*100</f>
        <v>16540.129999999997</v>
      </c>
      <c r="F146" s="573">
        <f>1.1924*100</f>
        <v>119.24</v>
      </c>
      <c r="G146" s="573">
        <f>2.1178*100</f>
        <v>211.78</v>
      </c>
      <c r="H146" s="574">
        <f>193.286*100</f>
        <v>19328.599999999999</v>
      </c>
      <c r="I146" s="576">
        <v>92.74841157951677</v>
      </c>
      <c r="J146" s="561">
        <v>103.26529520940966</v>
      </c>
      <c r="K146" s="562"/>
      <c r="L146" s="562"/>
    </row>
    <row r="147" spans="1:17" s="488" customFormat="1" ht="12.75" x14ac:dyDescent="0.2">
      <c r="A147" s="507">
        <v>41913</v>
      </c>
      <c r="B147" s="572" t="s">
        <v>825</v>
      </c>
      <c r="C147" s="560">
        <v>13084.36</v>
      </c>
      <c r="D147" s="573">
        <v>20921.240000000002</v>
      </c>
      <c r="E147" s="573">
        <v>16484.989999999998</v>
      </c>
      <c r="F147" s="573">
        <v>119.61</v>
      </c>
      <c r="G147" s="573">
        <v>213.47</v>
      </c>
      <c r="H147" s="574">
        <v>19343</v>
      </c>
      <c r="I147" s="576">
        <v>93.477394911789375</v>
      </c>
      <c r="J147" s="561">
        <v>102.12932487273687</v>
      </c>
      <c r="K147" s="562"/>
      <c r="L147" s="562"/>
    </row>
    <row r="148" spans="1:17" s="488" customFormat="1" ht="12.75" x14ac:dyDescent="0.2">
      <c r="A148" s="507">
        <v>41944</v>
      </c>
      <c r="B148" s="572" t="s">
        <v>825</v>
      </c>
      <c r="C148" s="560">
        <v>13100.82</v>
      </c>
      <c r="D148" s="573">
        <v>20601.04</v>
      </c>
      <c r="E148" s="573">
        <v>16324.93</v>
      </c>
      <c r="F148" s="573">
        <v>110.86</v>
      </c>
      <c r="G148" s="573">
        <v>212.12</v>
      </c>
      <c r="H148" s="574">
        <v>19181.599999999999</v>
      </c>
      <c r="I148" s="576">
        <v>94.555917134714633</v>
      </c>
      <c r="J148" s="561">
        <v>103.4196765206901</v>
      </c>
      <c r="K148" s="562"/>
      <c r="L148" s="562"/>
    </row>
    <row r="149" spans="1:17" s="488" customFormat="1" ht="12.75" x14ac:dyDescent="0.2">
      <c r="A149" s="507">
        <v>41974</v>
      </c>
      <c r="B149" s="572" t="s">
        <v>825</v>
      </c>
      <c r="C149" s="560">
        <v>13104.859999999999</v>
      </c>
      <c r="D149" s="573">
        <v>20404.27</v>
      </c>
      <c r="E149" s="573">
        <v>15942.060000000001</v>
      </c>
      <c r="F149" s="573">
        <v>109.79</v>
      </c>
      <c r="G149" s="573">
        <v>206.75</v>
      </c>
      <c r="H149" s="574">
        <v>18986.400000000001</v>
      </c>
      <c r="I149" s="576">
        <v>95.964320116311967</v>
      </c>
      <c r="J149" s="577">
        <v>105.76986893148069</v>
      </c>
      <c r="K149" s="562"/>
      <c r="L149" s="562"/>
    </row>
    <row r="150" spans="1:17" s="488" customFormat="1" ht="16.5" customHeight="1" x14ac:dyDescent="0.2">
      <c r="A150" s="508">
        <v>42005</v>
      </c>
      <c r="B150" s="578" t="s">
        <v>825</v>
      </c>
      <c r="C150" s="571">
        <v>13219.999999999998</v>
      </c>
      <c r="D150" s="571">
        <v>19935.099999999999</v>
      </c>
      <c r="E150" s="571">
        <v>14980.9</v>
      </c>
      <c r="F150" s="558">
        <v>112.04</v>
      </c>
      <c r="G150" s="558">
        <v>214.06</v>
      </c>
      <c r="H150" s="571">
        <v>18637.600000000002</v>
      </c>
      <c r="I150" s="563">
        <v>97.37061831175879</v>
      </c>
      <c r="J150" s="558">
        <v>112.67053076130034</v>
      </c>
      <c r="K150" s="562"/>
      <c r="L150" s="562"/>
    </row>
    <row r="151" spans="1:17" s="488" customFormat="1" ht="12.75" x14ac:dyDescent="0.2">
      <c r="A151" s="508">
        <v>42036</v>
      </c>
      <c r="B151" s="578" t="s">
        <v>825</v>
      </c>
      <c r="C151" s="579">
        <v>13290</v>
      </c>
      <c r="D151" s="579">
        <v>20499.830000000002</v>
      </c>
      <c r="E151" s="579">
        <v>14890.78</v>
      </c>
      <c r="F151" s="580">
        <v>111.43</v>
      </c>
      <c r="G151" s="580">
        <v>214.78000000000003</v>
      </c>
      <c r="H151" s="568">
        <v>18704.3</v>
      </c>
      <c r="I151" s="569">
        <v>97.147693880811985</v>
      </c>
      <c r="J151" s="558">
        <v>110.34321114365073</v>
      </c>
      <c r="K151" s="562"/>
      <c r="L151" s="562"/>
    </row>
    <row r="152" spans="1:17" s="488" customFormat="1" ht="12.75" x14ac:dyDescent="0.2">
      <c r="A152" s="508">
        <v>42064</v>
      </c>
      <c r="B152" s="578" t="s">
        <v>825</v>
      </c>
      <c r="C152" s="571">
        <v>13290</v>
      </c>
      <c r="D152" s="571">
        <v>19659.899999999998</v>
      </c>
      <c r="E152" s="571">
        <v>14387.09</v>
      </c>
      <c r="F152" s="558">
        <v>110.66</v>
      </c>
      <c r="G152" s="558">
        <v>212.42000000000002</v>
      </c>
      <c r="H152" s="571">
        <v>18333.5</v>
      </c>
      <c r="I152" s="563">
        <v>98.481974662658232</v>
      </c>
      <c r="J152" s="558">
        <v>110.97831976386108</v>
      </c>
      <c r="K152" s="569"/>
      <c r="L152" s="569"/>
      <c r="M152" s="569"/>
      <c r="N152" s="569"/>
      <c r="O152" s="569"/>
      <c r="P152" s="569"/>
      <c r="Q152" s="569"/>
    </row>
    <row r="153" spans="1:17" s="488" customFormat="1" ht="12.75" x14ac:dyDescent="0.2">
      <c r="A153" s="508">
        <v>42095</v>
      </c>
      <c r="B153" s="578" t="s">
        <v>825</v>
      </c>
      <c r="C153" s="571">
        <v>13290</v>
      </c>
      <c r="D153" s="571">
        <v>20504.48</v>
      </c>
      <c r="E153" s="571">
        <v>14773.830000000002</v>
      </c>
      <c r="F153" s="558">
        <v>111.85000000000001</v>
      </c>
      <c r="G153" s="558">
        <v>209.32</v>
      </c>
      <c r="H153" s="571">
        <v>18691.300000000003</v>
      </c>
      <c r="I153" s="563">
        <v>98.057337073930981</v>
      </c>
      <c r="J153" s="558">
        <v>110.33755499114386</v>
      </c>
      <c r="K153" s="562"/>
      <c r="L153" s="562"/>
    </row>
    <row r="154" spans="1:17" s="488" customFormat="1" ht="12.75" x14ac:dyDescent="0.2">
      <c r="A154" s="508">
        <v>42125</v>
      </c>
      <c r="B154" s="578" t="s">
        <v>825</v>
      </c>
      <c r="C154" s="571">
        <v>13390</v>
      </c>
      <c r="D154" s="571">
        <v>20530.22</v>
      </c>
      <c r="E154" s="571">
        <v>14674.100000000002</v>
      </c>
      <c r="F154" s="558">
        <v>108.28</v>
      </c>
      <c r="G154" s="558">
        <v>209.79000000000002</v>
      </c>
      <c r="H154" s="571">
        <v>18618.8</v>
      </c>
      <c r="I154" s="563">
        <v>96.84275186079347</v>
      </c>
      <c r="J154" s="558">
        <v>108.70983249641337</v>
      </c>
    </row>
    <row r="155" spans="1:17" s="488" customFormat="1" ht="12.75" x14ac:dyDescent="0.2">
      <c r="A155" s="508">
        <v>42156</v>
      </c>
      <c r="B155" s="578" t="s">
        <v>825</v>
      </c>
      <c r="C155" s="571">
        <v>13369.999999999998</v>
      </c>
      <c r="D155" s="571">
        <v>21029.67</v>
      </c>
      <c r="E155" s="571">
        <v>14962.37</v>
      </c>
      <c r="F155" s="558">
        <v>109.27</v>
      </c>
      <c r="G155" s="558">
        <v>209.71</v>
      </c>
      <c r="H155" s="571">
        <v>18803.5</v>
      </c>
      <c r="I155" s="563">
        <v>96.991451552664003</v>
      </c>
      <c r="J155" s="558">
        <v>109.61708460862754</v>
      </c>
      <c r="K155" s="562"/>
      <c r="L155" s="562"/>
    </row>
    <row r="156" spans="1:17" s="488" customFormat="1" ht="12.75" x14ac:dyDescent="0.2">
      <c r="A156" s="508">
        <v>42186</v>
      </c>
      <c r="B156" s="578" t="s">
        <v>825</v>
      </c>
      <c r="C156" s="571">
        <v>13360</v>
      </c>
      <c r="D156" s="571">
        <v>20848.28</v>
      </c>
      <c r="E156" s="571">
        <v>14659.93</v>
      </c>
      <c r="F156" s="558">
        <v>107.61</v>
      </c>
      <c r="G156" s="558">
        <v>209.05</v>
      </c>
      <c r="H156" s="571">
        <v>18628.7</v>
      </c>
      <c r="I156" s="563">
        <v>97.82877619594187</v>
      </c>
      <c r="J156" s="558">
        <v>111.04120577568079</v>
      </c>
      <c r="K156" s="562"/>
      <c r="L156" s="562"/>
    </row>
    <row r="157" spans="1:17" s="488" customFormat="1" ht="12.75" x14ac:dyDescent="0.2">
      <c r="A157" s="508">
        <v>42217</v>
      </c>
      <c r="B157" s="578" t="s">
        <v>825</v>
      </c>
      <c r="C157" s="571">
        <v>13430.000000000002</v>
      </c>
      <c r="D157" s="571">
        <v>20723.830000000002</v>
      </c>
      <c r="E157" s="571">
        <v>15088.61</v>
      </c>
      <c r="F157" s="558">
        <v>110.82000000000001</v>
      </c>
      <c r="G157" s="558">
        <v>202.76999999999998</v>
      </c>
      <c r="H157" s="571">
        <v>18853.100000000002</v>
      </c>
      <c r="I157" s="563">
        <v>98.711717858671335</v>
      </c>
      <c r="J157" s="558">
        <v>111.55716413708858</v>
      </c>
      <c r="K157" s="562"/>
      <c r="L157" s="562"/>
    </row>
    <row r="158" spans="1:17" s="488" customFormat="1" ht="12.75" x14ac:dyDescent="0.2">
      <c r="A158" s="508">
        <v>42248</v>
      </c>
      <c r="B158" s="578" t="s">
        <v>825</v>
      </c>
      <c r="C158" s="571">
        <v>14123.349999999999</v>
      </c>
      <c r="D158" s="571">
        <v>21400.41</v>
      </c>
      <c r="E158" s="571">
        <v>15891.59</v>
      </c>
      <c r="F158" s="558">
        <v>117.86000000000001</v>
      </c>
      <c r="G158" s="558">
        <v>214.32999999999998</v>
      </c>
      <c r="H158" s="571">
        <v>19825.5</v>
      </c>
      <c r="I158" s="563">
        <v>95.539226341174242</v>
      </c>
      <c r="J158" s="558">
        <v>107.69028222858816</v>
      </c>
      <c r="K158" s="562"/>
      <c r="L158" s="562"/>
    </row>
    <row r="159" spans="1:17" s="488" customFormat="1" ht="12.75" x14ac:dyDescent="0.2">
      <c r="A159" s="508">
        <v>42278</v>
      </c>
      <c r="B159" s="578" t="s">
        <v>825</v>
      </c>
      <c r="C159" s="571">
        <v>14085.43</v>
      </c>
      <c r="D159" s="571">
        <v>21577.47</v>
      </c>
      <c r="E159" s="571">
        <v>15462.99</v>
      </c>
      <c r="F159" s="558">
        <v>116.51</v>
      </c>
      <c r="G159" s="558">
        <v>215.63</v>
      </c>
      <c r="H159" s="571">
        <v>19675.599999999999</v>
      </c>
      <c r="I159" s="563">
        <v>93.817626443858899</v>
      </c>
      <c r="J159" s="558">
        <v>105.60309964170686</v>
      </c>
      <c r="K159" s="562"/>
      <c r="L159" s="562"/>
    </row>
    <row r="160" spans="1:17" s="488" customFormat="1" ht="12.75" x14ac:dyDescent="0.2">
      <c r="A160" s="508">
        <v>42309</v>
      </c>
      <c r="B160" s="578" t="s">
        <v>825</v>
      </c>
      <c r="C160" s="571">
        <v>14320.740000000002</v>
      </c>
      <c r="D160" s="571">
        <v>21514.05</v>
      </c>
      <c r="E160" s="571">
        <v>15148.480000000001</v>
      </c>
      <c r="F160" s="558">
        <v>116.65</v>
      </c>
      <c r="G160" s="558">
        <v>214.01</v>
      </c>
      <c r="H160" s="571">
        <v>19650.399999999998</v>
      </c>
      <c r="I160" s="563">
        <v>94.685887440457606</v>
      </c>
      <c r="J160" s="558">
        <v>107.88853424274905</v>
      </c>
      <c r="K160" s="562"/>
      <c r="L160" s="562"/>
    </row>
    <row r="161" spans="1:14" s="488" customFormat="1" ht="12.75" x14ac:dyDescent="0.2">
      <c r="A161" s="508">
        <v>42339</v>
      </c>
      <c r="B161" s="578" t="s">
        <v>825</v>
      </c>
      <c r="C161" s="571">
        <v>14406.23</v>
      </c>
      <c r="D161" s="571">
        <v>21357.239999999998</v>
      </c>
      <c r="E161" s="571">
        <v>15737.37</v>
      </c>
      <c r="F161" s="558">
        <v>119.6</v>
      </c>
      <c r="G161" s="558">
        <v>216.76999999999998</v>
      </c>
      <c r="H161" s="571">
        <v>19963.099999999999</v>
      </c>
      <c r="I161" s="563">
        <v>93.788331424604621</v>
      </c>
      <c r="J161" s="558">
        <v>107.57774197040297</v>
      </c>
      <c r="K161" s="562"/>
      <c r="L161" s="562"/>
    </row>
    <row r="162" spans="1:14" s="488" customFormat="1" ht="12.75" x14ac:dyDescent="0.2">
      <c r="A162" s="507">
        <v>42370</v>
      </c>
      <c r="B162" s="572" t="s">
        <v>825</v>
      </c>
      <c r="C162" s="560">
        <v>14392.080000000002</v>
      </c>
      <c r="D162" s="573">
        <v>20659.11</v>
      </c>
      <c r="E162" s="573">
        <v>15736.3</v>
      </c>
      <c r="F162" s="573">
        <v>121.35000000000001</v>
      </c>
      <c r="G162" s="573">
        <v>211.32</v>
      </c>
      <c r="H162" s="574">
        <v>19868.199999999997</v>
      </c>
      <c r="I162" s="575">
        <v>94.465050781523701</v>
      </c>
      <c r="J162" s="561">
        <v>108.84219547814023</v>
      </c>
    </row>
    <row r="163" spans="1:14" s="488" customFormat="1" ht="12.75" x14ac:dyDescent="0.2">
      <c r="A163" s="507">
        <v>42401</v>
      </c>
      <c r="B163" s="572" t="s">
        <v>825</v>
      </c>
      <c r="C163" s="560">
        <v>14434.5</v>
      </c>
      <c r="D163" s="573">
        <v>20003.129999999997</v>
      </c>
      <c r="E163" s="573">
        <v>15786.55</v>
      </c>
      <c r="F163" s="573">
        <v>127.35000000000001</v>
      </c>
      <c r="G163" s="573">
        <v>209.85999999999999</v>
      </c>
      <c r="H163" s="574">
        <v>19939.8</v>
      </c>
      <c r="I163" s="576">
        <v>93.921393324618549</v>
      </c>
      <c r="J163" s="561">
        <v>107.67521607753598</v>
      </c>
    </row>
    <row r="164" spans="1:14" s="488" customFormat="1" ht="12.75" x14ac:dyDescent="0.2">
      <c r="A164" s="507">
        <v>42430</v>
      </c>
      <c r="B164" s="572" t="s">
        <v>825</v>
      </c>
      <c r="C164" s="560">
        <v>14390</v>
      </c>
      <c r="D164" s="573">
        <v>20656.849999999999</v>
      </c>
      <c r="E164" s="573">
        <v>16294.52</v>
      </c>
      <c r="F164" s="573">
        <v>128.1</v>
      </c>
      <c r="G164" s="573">
        <v>216.8</v>
      </c>
      <c r="H164" s="574">
        <v>20272.900000000001</v>
      </c>
      <c r="I164" s="576">
        <v>93.019659313291996</v>
      </c>
      <c r="J164" s="561">
        <v>105.6390803570258</v>
      </c>
    </row>
    <row r="165" spans="1:14" s="488" customFormat="1" ht="12.75" x14ac:dyDescent="0.2">
      <c r="A165" s="507">
        <v>42461</v>
      </c>
      <c r="B165" s="572" t="s">
        <v>825</v>
      </c>
      <c r="C165" s="560">
        <v>14390</v>
      </c>
      <c r="D165" s="573">
        <v>21069.84</v>
      </c>
      <c r="E165" s="573">
        <v>16380.14</v>
      </c>
      <c r="F165" s="573">
        <v>134.07</v>
      </c>
      <c r="G165" s="573">
        <v>216.52999999999997</v>
      </c>
      <c r="H165" s="574">
        <v>20395.400000000001</v>
      </c>
      <c r="I165" s="576">
        <v>91.942342154227177</v>
      </c>
      <c r="J165" s="561">
        <v>105.01397377260051</v>
      </c>
    </row>
    <row r="166" spans="1:14" s="488" customFormat="1" ht="12.75" x14ac:dyDescent="0.2">
      <c r="A166" s="507">
        <v>42491</v>
      </c>
      <c r="B166" s="572" t="s">
        <v>825</v>
      </c>
      <c r="C166" s="560">
        <v>14575</v>
      </c>
      <c r="D166" s="573">
        <v>21409.219999999998</v>
      </c>
      <c r="E166" s="573">
        <v>16246.75</v>
      </c>
      <c r="F166" s="573">
        <v>131.21</v>
      </c>
      <c r="G166" s="573">
        <v>216.94</v>
      </c>
      <c r="H166" s="574">
        <v>20447</v>
      </c>
      <c r="I166" s="576">
        <v>91.046739091642891</v>
      </c>
      <c r="J166" s="561">
        <v>105.13762197901384</v>
      </c>
    </row>
    <row r="167" spans="1:14" s="488" customFormat="1" ht="12.75" x14ac:dyDescent="0.2">
      <c r="A167" s="507">
        <v>42522</v>
      </c>
      <c r="B167" s="572" t="s">
        <v>825</v>
      </c>
      <c r="C167" s="560">
        <v>14525</v>
      </c>
      <c r="D167" s="573">
        <v>19487.469999999998</v>
      </c>
      <c r="E167" s="573">
        <v>16143.81</v>
      </c>
      <c r="F167" s="573">
        <v>141.41999999999999</v>
      </c>
      <c r="G167" s="573">
        <v>215.18</v>
      </c>
      <c r="H167" s="574">
        <v>20318.199999999997</v>
      </c>
      <c r="I167" s="576">
        <v>91.596275322568786</v>
      </c>
      <c r="J167" s="561">
        <v>107.13979059854009</v>
      </c>
    </row>
    <row r="168" spans="1:14" s="488" customFormat="1" ht="12.75" x14ac:dyDescent="0.2">
      <c r="A168" s="507">
        <v>42552</v>
      </c>
      <c r="B168" s="572" t="s">
        <v>825</v>
      </c>
      <c r="C168" s="560">
        <v>14574.66</v>
      </c>
      <c r="D168" s="573">
        <v>19223.98</v>
      </c>
      <c r="E168" s="573">
        <v>16153.1</v>
      </c>
      <c r="F168" s="573">
        <v>140.09</v>
      </c>
      <c r="G168" s="573">
        <v>217.30999999999997</v>
      </c>
      <c r="H168" s="574">
        <v>20308</v>
      </c>
      <c r="I168" s="576">
        <v>92.339529751139267</v>
      </c>
      <c r="J168" s="561">
        <v>108.76518302784986</v>
      </c>
    </row>
    <row r="169" spans="1:14" s="488" customFormat="1" ht="12.75" x14ac:dyDescent="0.2">
      <c r="A169" s="507">
        <v>42583</v>
      </c>
      <c r="B169" s="572" t="s">
        <v>825</v>
      </c>
      <c r="C169" s="560">
        <v>14562</v>
      </c>
      <c r="D169" s="573">
        <v>19077.68</v>
      </c>
      <c r="E169" s="573">
        <v>16239.539999999999</v>
      </c>
      <c r="F169" s="573">
        <v>141.42999999999998</v>
      </c>
      <c r="G169" s="573">
        <v>217.01999999999998</v>
      </c>
      <c r="H169" s="574">
        <v>20304.400000000001</v>
      </c>
      <c r="I169" s="576">
        <v>91.77446620813808</v>
      </c>
      <c r="J169" s="561">
        <v>106.2957427239199</v>
      </c>
    </row>
    <row r="170" spans="1:14" s="488" customFormat="1" ht="12.75" x14ac:dyDescent="0.2">
      <c r="A170" s="507">
        <v>42614</v>
      </c>
      <c r="B170" s="572" t="s">
        <v>825</v>
      </c>
      <c r="C170" s="560">
        <v>14672.29</v>
      </c>
      <c r="D170" s="573">
        <v>19016.759999999998</v>
      </c>
      <c r="E170" s="573">
        <v>16456.440000000002</v>
      </c>
      <c r="F170" s="573">
        <v>145.36000000000001</v>
      </c>
      <c r="G170" s="573">
        <v>219.49999999999997</v>
      </c>
      <c r="H170" s="574">
        <v>20479.8</v>
      </c>
      <c r="I170" s="576">
        <v>91.622348548000375</v>
      </c>
      <c r="J170" s="561">
        <v>105.64446614975363</v>
      </c>
    </row>
    <row r="171" spans="1:14" s="488" customFormat="1" ht="12.75" x14ac:dyDescent="0.2">
      <c r="A171" s="507">
        <v>42644</v>
      </c>
      <c r="B171" s="572" t="s">
        <v>825</v>
      </c>
      <c r="C171" s="560">
        <v>14711.359999999999</v>
      </c>
      <c r="D171" s="573">
        <v>17919.91</v>
      </c>
      <c r="E171" s="573">
        <v>16127.33</v>
      </c>
      <c r="F171" s="573">
        <v>140.27000000000001</v>
      </c>
      <c r="G171" s="573">
        <v>220.26</v>
      </c>
      <c r="H171" s="574">
        <v>20211.2</v>
      </c>
      <c r="I171" s="576">
        <v>92.057800619544935</v>
      </c>
      <c r="J171" s="561">
        <v>105.86319815461027</v>
      </c>
    </row>
    <row r="172" spans="1:14" s="488" customFormat="1" ht="12.75" x14ac:dyDescent="0.2">
      <c r="A172" s="507">
        <v>42675</v>
      </c>
      <c r="B172" s="572" t="s">
        <v>825</v>
      </c>
      <c r="C172" s="560">
        <v>14794.999999999998</v>
      </c>
      <c r="D172" s="573">
        <v>18463.419999999998</v>
      </c>
      <c r="E172" s="573">
        <v>15755.199999999999</v>
      </c>
      <c r="F172" s="573">
        <v>131.76000000000002</v>
      </c>
      <c r="G172" s="573">
        <v>215.59</v>
      </c>
      <c r="H172" s="574">
        <v>20028.899999999998</v>
      </c>
      <c r="I172" s="576">
        <v>92.696654292332397</v>
      </c>
      <c r="J172" s="561">
        <v>107.87488663101283</v>
      </c>
    </row>
    <row r="173" spans="1:14" s="488" customFormat="1" ht="12.75" x14ac:dyDescent="0.2">
      <c r="A173" s="507">
        <v>42705</v>
      </c>
      <c r="B173" s="572" t="s">
        <v>825</v>
      </c>
      <c r="C173" s="560">
        <v>14980.000000000002</v>
      </c>
      <c r="D173" s="573">
        <v>18404.43</v>
      </c>
      <c r="E173" s="573">
        <v>15787.42</v>
      </c>
      <c r="F173" s="573">
        <v>128.66999999999999</v>
      </c>
      <c r="G173" s="573">
        <v>220.56</v>
      </c>
      <c r="H173" s="574">
        <v>20138.099999999999</v>
      </c>
      <c r="I173" s="576">
        <v>93.046619235170553</v>
      </c>
      <c r="J173" s="577">
        <v>109.34292485836008</v>
      </c>
    </row>
    <row r="174" spans="1:14" s="488" customFormat="1" ht="12.75" x14ac:dyDescent="0.2">
      <c r="A174" s="508">
        <v>42736</v>
      </c>
      <c r="B174" s="578" t="s">
        <v>825</v>
      </c>
      <c r="C174" s="571">
        <v>15024.289999999999</v>
      </c>
      <c r="D174" s="571">
        <v>18796.14</v>
      </c>
      <c r="E174" s="571">
        <v>16072.989999999998</v>
      </c>
      <c r="F174" s="558">
        <v>132.31</v>
      </c>
      <c r="G174" s="558">
        <v>221.58</v>
      </c>
      <c r="H174" s="571">
        <v>20415.5</v>
      </c>
      <c r="I174" s="563">
        <v>104.50495473228378</v>
      </c>
      <c r="J174" s="558">
        <v>103.08910568549572</v>
      </c>
      <c r="K174" s="562"/>
      <c r="L174" s="562"/>
      <c r="M174" s="562"/>
      <c r="N174" s="562"/>
    </row>
    <row r="175" spans="1:14" s="488" customFormat="1" ht="12.75" x14ac:dyDescent="0.2">
      <c r="A175" s="508">
        <v>42767</v>
      </c>
      <c r="B175" s="578" t="s">
        <v>825</v>
      </c>
      <c r="C175" s="579">
        <v>15125</v>
      </c>
      <c r="D175" s="579">
        <v>18802.64</v>
      </c>
      <c r="E175" s="579">
        <v>16009.06</v>
      </c>
      <c r="F175" s="580">
        <v>134.35</v>
      </c>
      <c r="G175" s="580">
        <v>226.76</v>
      </c>
      <c r="H175" s="568">
        <v>20477.600000000002</v>
      </c>
      <c r="I175" s="569">
        <v>103.13959950685685</v>
      </c>
      <c r="J175" s="558">
        <v>102.07687732257689</v>
      </c>
      <c r="K175" s="562"/>
      <c r="L175" s="562"/>
      <c r="M175" s="562"/>
      <c r="N175" s="562"/>
    </row>
    <row r="176" spans="1:14" s="488" customFormat="1" ht="12.75" x14ac:dyDescent="0.2">
      <c r="A176" s="508">
        <v>42795</v>
      </c>
      <c r="B176" s="578" t="s">
        <v>825</v>
      </c>
      <c r="C176" s="571">
        <v>15173.539999999999</v>
      </c>
      <c r="D176" s="571">
        <v>18953.27</v>
      </c>
      <c r="E176" s="571">
        <v>16203.06</v>
      </c>
      <c r="F176" s="558">
        <v>135.38</v>
      </c>
      <c r="G176" s="558">
        <v>233.94</v>
      </c>
      <c r="H176" s="571">
        <v>20588.2</v>
      </c>
      <c r="I176" s="563">
        <v>102.54064647805122</v>
      </c>
      <c r="J176" s="558">
        <v>101.18010539070038</v>
      </c>
      <c r="K176" s="562"/>
      <c r="L176" s="562"/>
      <c r="M176" s="562"/>
      <c r="N176" s="562"/>
    </row>
    <row r="177" spans="1:15" s="488" customFormat="1" ht="12.75" x14ac:dyDescent="0.2">
      <c r="A177" s="508">
        <v>42826</v>
      </c>
      <c r="B177" s="578" t="s">
        <v>825</v>
      </c>
      <c r="C177" s="571">
        <v>15190</v>
      </c>
      <c r="D177" s="571">
        <v>19609.530000000002</v>
      </c>
      <c r="E177" s="571">
        <v>16513.050000000003</v>
      </c>
      <c r="F177" s="558">
        <v>136.65</v>
      </c>
      <c r="G177" s="558">
        <v>236.92000000000002</v>
      </c>
      <c r="H177" s="571">
        <v>20825.899999999998</v>
      </c>
      <c r="I177" s="563">
        <v>101.5066599262542</v>
      </c>
      <c r="J177" s="558">
        <v>100.32398012047526</v>
      </c>
      <c r="K177" s="562"/>
      <c r="L177" s="562"/>
      <c r="M177" s="562"/>
      <c r="N177" s="562"/>
    </row>
    <row r="178" spans="1:15" s="488" customFormat="1" ht="12.75" x14ac:dyDescent="0.2">
      <c r="A178" s="508">
        <v>42856</v>
      </c>
      <c r="B178" s="578" t="s">
        <v>825</v>
      </c>
      <c r="C178" s="571">
        <v>15250</v>
      </c>
      <c r="D178" s="571">
        <v>19555.080000000002</v>
      </c>
      <c r="E178" s="571">
        <v>17042.64</v>
      </c>
      <c r="F178" s="558">
        <v>137.29</v>
      </c>
      <c r="G178" s="558">
        <v>235.98</v>
      </c>
      <c r="H178" s="571">
        <v>21110.9</v>
      </c>
      <c r="I178" s="563">
        <v>100.50256239909652</v>
      </c>
      <c r="J178" s="558">
        <v>100.14583771390031</v>
      </c>
      <c r="K178" s="562"/>
      <c r="L178" s="562"/>
      <c r="M178" s="562"/>
      <c r="N178" s="562"/>
    </row>
    <row r="179" spans="1:15" s="488" customFormat="1" ht="12.75" x14ac:dyDescent="0.2">
      <c r="A179" s="508">
        <v>42887</v>
      </c>
      <c r="B179" s="578" t="s">
        <v>825</v>
      </c>
      <c r="C179" s="571">
        <v>15351</v>
      </c>
      <c r="D179" s="571">
        <v>19993.14</v>
      </c>
      <c r="E179" s="571">
        <v>17561.54</v>
      </c>
      <c r="F179" s="558">
        <v>137.28</v>
      </c>
      <c r="G179" s="558">
        <v>237.41</v>
      </c>
      <c r="H179" s="571">
        <v>21359.200000000001</v>
      </c>
      <c r="I179" s="563">
        <v>99.688647425600962</v>
      </c>
      <c r="J179" s="558">
        <v>100.80686336934517</v>
      </c>
      <c r="K179" s="562"/>
      <c r="L179" s="562"/>
      <c r="M179" s="562"/>
      <c r="N179" s="562"/>
    </row>
    <row r="180" spans="1:15" s="488" customFormat="1" ht="12.75" x14ac:dyDescent="0.2">
      <c r="A180" s="508">
        <v>42917</v>
      </c>
      <c r="B180" s="578" t="s">
        <v>825</v>
      </c>
      <c r="C180" s="571">
        <v>15372.78</v>
      </c>
      <c r="D180" s="571">
        <v>20190.61</v>
      </c>
      <c r="E180" s="571">
        <v>18047.64</v>
      </c>
      <c r="F180" s="558">
        <v>139.18</v>
      </c>
      <c r="G180" s="558">
        <v>239.76999999999998</v>
      </c>
      <c r="H180" s="571">
        <v>21641</v>
      </c>
      <c r="I180" s="563">
        <v>98.64595941984426</v>
      </c>
      <c r="J180" s="558">
        <v>98.852536443580149</v>
      </c>
      <c r="K180" s="562"/>
      <c r="L180" s="562"/>
      <c r="M180" s="562"/>
      <c r="N180" s="562"/>
    </row>
    <row r="181" spans="1:15" s="488" customFormat="1" ht="12.75" x14ac:dyDescent="0.2">
      <c r="A181" s="508">
        <v>42948</v>
      </c>
      <c r="B181" s="578" t="s">
        <v>825</v>
      </c>
      <c r="C181" s="571">
        <v>15283.5</v>
      </c>
      <c r="D181" s="571">
        <v>19737.88</v>
      </c>
      <c r="E181" s="571">
        <v>18151.45</v>
      </c>
      <c r="F181" s="558">
        <v>138.32999999999998</v>
      </c>
      <c r="G181" s="558">
        <v>238.83999999999997</v>
      </c>
      <c r="H181" s="571">
        <v>21601.5</v>
      </c>
      <c r="I181" s="563">
        <v>98.053347770722795</v>
      </c>
      <c r="J181" s="558">
        <v>97.51392831914049</v>
      </c>
      <c r="K181" s="562"/>
      <c r="L181" s="562"/>
      <c r="M181" s="562"/>
      <c r="N181" s="562"/>
    </row>
    <row r="182" spans="1:15" s="488" customFormat="1" ht="12.75" x14ac:dyDescent="0.2">
      <c r="A182" s="508">
        <v>42979</v>
      </c>
      <c r="B182" s="578" t="s">
        <v>825</v>
      </c>
      <c r="C182" s="571">
        <v>15309.83</v>
      </c>
      <c r="D182" s="571">
        <v>20538.900000000001</v>
      </c>
      <c r="E182" s="571">
        <v>18036.510000000002</v>
      </c>
      <c r="F182" s="558">
        <v>135.94</v>
      </c>
      <c r="G182" s="558">
        <v>233.84</v>
      </c>
      <c r="H182" s="571">
        <v>21637.3</v>
      </c>
      <c r="I182" s="563">
        <v>97.623703662153289</v>
      </c>
      <c r="J182" s="558">
        <v>97.562242388689796</v>
      </c>
      <c r="K182" s="562"/>
      <c r="L182" s="562"/>
      <c r="M182" s="562"/>
      <c r="N182" s="562"/>
    </row>
    <row r="183" spans="1:15" s="488" customFormat="1" ht="12.75" x14ac:dyDescent="0.2">
      <c r="A183" s="508">
        <v>43009</v>
      </c>
      <c r="B183" s="578" t="s">
        <v>825</v>
      </c>
      <c r="C183" s="571">
        <v>15359.03</v>
      </c>
      <c r="D183" s="571">
        <v>20270.849999999999</v>
      </c>
      <c r="E183" s="571">
        <v>17872.54</v>
      </c>
      <c r="F183" s="558">
        <v>135.81</v>
      </c>
      <c r="G183" s="558">
        <v>236.79999999999998</v>
      </c>
      <c r="H183" s="571">
        <v>21574.600000000002</v>
      </c>
      <c r="I183" s="563">
        <v>98.103049256362908</v>
      </c>
      <c r="J183" s="558">
        <v>98.757497841704037</v>
      </c>
      <c r="K183" s="562"/>
      <c r="L183" s="562"/>
      <c r="M183" s="562"/>
      <c r="N183" s="562"/>
    </row>
    <row r="184" spans="1:15" s="488" customFormat="1" ht="12.75" x14ac:dyDescent="0.2">
      <c r="A184" s="508">
        <v>43040</v>
      </c>
      <c r="B184" s="578" t="s">
        <v>825</v>
      </c>
      <c r="C184" s="571">
        <v>15376.519999999999</v>
      </c>
      <c r="D184" s="571">
        <v>20715.25</v>
      </c>
      <c r="E184" s="571">
        <v>18249.62</v>
      </c>
      <c r="F184" s="558">
        <v>137.30000000000001</v>
      </c>
      <c r="G184" s="558">
        <v>238.91</v>
      </c>
      <c r="H184" s="571">
        <v>21764.2</v>
      </c>
      <c r="I184" s="563">
        <v>98.081326350902827</v>
      </c>
      <c r="J184" s="558">
        <v>99.74153036819034</v>
      </c>
      <c r="K184" s="562"/>
      <c r="L184" s="562"/>
      <c r="M184" s="562"/>
      <c r="N184" s="562"/>
    </row>
    <row r="185" spans="1:15" s="488" customFormat="1" ht="12.75" x14ac:dyDescent="0.2">
      <c r="A185" s="508">
        <v>43070</v>
      </c>
      <c r="B185" s="578" t="s">
        <v>825</v>
      </c>
      <c r="C185" s="571">
        <v>15285.480000000001</v>
      </c>
      <c r="D185" s="571">
        <v>20553.620000000003</v>
      </c>
      <c r="E185" s="571">
        <v>18248.57</v>
      </c>
      <c r="F185" s="558">
        <v>135.59</v>
      </c>
      <c r="G185" s="558">
        <v>238.54000000000002</v>
      </c>
      <c r="H185" s="571">
        <v>21768.600000000002</v>
      </c>
      <c r="I185" s="563">
        <v>97.917069501502567</v>
      </c>
      <c r="J185" s="558">
        <v>100.10473425275622</v>
      </c>
      <c r="K185" s="562"/>
      <c r="L185" s="562"/>
      <c r="M185" s="562"/>
      <c r="N185" s="562"/>
    </row>
    <row r="186" spans="1:15" s="488" customFormat="1" ht="12.75" x14ac:dyDescent="0.2">
      <c r="A186" s="507">
        <v>43101</v>
      </c>
      <c r="B186" s="572" t="s">
        <v>825</v>
      </c>
      <c r="C186" s="560">
        <v>15376.820000000002</v>
      </c>
      <c r="D186" s="573">
        <v>21604.43</v>
      </c>
      <c r="E186" s="573">
        <v>19018.05</v>
      </c>
      <c r="F186" s="573">
        <f>1.4097*100</f>
        <v>140.97</v>
      </c>
      <c r="G186" s="573">
        <f>2.4177*100</f>
        <v>241.76999999999998</v>
      </c>
      <c r="H186" s="574">
        <f>223.757*100</f>
        <v>22375.7</v>
      </c>
      <c r="I186" s="575">
        <v>95.932094569591342</v>
      </c>
      <c r="J186" s="561">
        <v>97.668297802455811</v>
      </c>
      <c r="K186" s="562"/>
      <c r="L186" s="562"/>
      <c r="M186" s="562"/>
      <c r="N186" s="562"/>
      <c r="O186" s="562"/>
    </row>
    <row r="187" spans="1:15" s="488" customFormat="1" ht="12.75" x14ac:dyDescent="0.2">
      <c r="A187" s="507">
        <v>43132</v>
      </c>
      <c r="B187" s="572" t="s">
        <v>825</v>
      </c>
      <c r="C187" s="560">
        <f>154.8718*100</f>
        <v>15487.18</v>
      </c>
      <c r="D187" s="573">
        <f>215.3105*100</f>
        <v>21531.05</v>
      </c>
      <c r="E187" s="573">
        <f>189.354*100</f>
        <v>18935.400000000001</v>
      </c>
      <c r="F187" s="573">
        <f>1.444*100</f>
        <v>144.4</v>
      </c>
      <c r="G187" s="573">
        <f>2.3856*100</f>
        <v>238.56</v>
      </c>
      <c r="H187" s="574">
        <f>223.927*100</f>
        <v>22392.7</v>
      </c>
      <c r="I187" s="576">
        <v>94.745863106750193</v>
      </c>
      <c r="J187" s="561">
        <v>95.419623347483324</v>
      </c>
      <c r="K187" s="562"/>
      <c r="L187" s="562"/>
      <c r="M187" s="562"/>
      <c r="N187" s="562"/>
      <c r="O187" s="562"/>
    </row>
    <row r="188" spans="1:15" s="488" customFormat="1" ht="12.75" x14ac:dyDescent="0.2">
      <c r="A188" s="507">
        <v>43160</v>
      </c>
      <c r="B188" s="572" t="s">
        <v>825</v>
      </c>
      <c r="C188" s="560">
        <v>15597.25</v>
      </c>
      <c r="D188" s="573">
        <v>21953.91</v>
      </c>
      <c r="E188" s="573">
        <v>19222.05</v>
      </c>
      <c r="F188" s="573">
        <v>146.35</v>
      </c>
      <c r="G188" s="573">
        <v>239.37</v>
      </c>
      <c r="H188" s="574">
        <v>22673.200000000001</v>
      </c>
      <c r="I188" s="576">
        <v>94.481972261271025</v>
      </c>
      <c r="J188" s="561">
        <v>94.809882925720942</v>
      </c>
      <c r="K188" s="562"/>
      <c r="L188" s="562"/>
      <c r="M188" s="562"/>
      <c r="N188" s="562"/>
      <c r="O188" s="562"/>
    </row>
    <row r="189" spans="1:15" s="488" customFormat="1" ht="12.75" x14ac:dyDescent="0.2">
      <c r="A189" s="507">
        <v>43191</v>
      </c>
      <c r="B189" s="572" t="s">
        <v>825</v>
      </c>
      <c r="C189" s="560">
        <v>15764.590000000002</v>
      </c>
      <c r="D189" s="573">
        <v>21949.040000000001</v>
      </c>
      <c r="E189" s="573">
        <v>19090.919999999998</v>
      </c>
      <c r="F189" s="573">
        <v>144.4</v>
      </c>
      <c r="G189" s="573">
        <v>235.98</v>
      </c>
      <c r="H189" s="574">
        <v>22666.300000000003</v>
      </c>
      <c r="I189" s="576">
        <v>94.552024077184711</v>
      </c>
      <c r="J189" s="561">
        <v>94.720318978401266</v>
      </c>
      <c r="K189" s="562"/>
      <c r="L189" s="562"/>
      <c r="M189" s="562"/>
      <c r="N189" s="562"/>
      <c r="O189" s="562"/>
    </row>
    <row r="190" spans="1:15" s="488" customFormat="1" ht="12.75" x14ac:dyDescent="0.2">
      <c r="A190" s="507">
        <v>43221</v>
      </c>
      <c r="B190" s="572" t="s">
        <v>825</v>
      </c>
      <c r="C190" s="560">
        <v>15809</v>
      </c>
      <c r="D190" s="573">
        <v>21024.39</v>
      </c>
      <c r="E190" s="573">
        <v>18430.13</v>
      </c>
      <c r="F190" s="573">
        <v>145.51000000000002</v>
      </c>
      <c r="G190" s="573">
        <v>234.42</v>
      </c>
      <c r="H190" s="574">
        <v>22395.9</v>
      </c>
      <c r="I190" s="576">
        <v>95.492648294168532</v>
      </c>
      <c r="J190" s="561">
        <v>96.503684965769978</v>
      </c>
      <c r="K190" s="562"/>
      <c r="L190" s="562"/>
      <c r="M190" s="562"/>
      <c r="N190" s="562"/>
      <c r="O190" s="562"/>
    </row>
    <row r="191" spans="1:15" s="488" customFormat="1" ht="12.75" x14ac:dyDescent="0.2">
      <c r="A191" s="507">
        <v>43252</v>
      </c>
      <c r="B191" s="572" t="s">
        <v>825</v>
      </c>
      <c r="C191" s="560">
        <v>15825.69</v>
      </c>
      <c r="D191" s="573">
        <v>20691.300000000003</v>
      </c>
      <c r="E191" s="573">
        <v>18310.32</v>
      </c>
      <c r="F191" s="573">
        <v>143.22999999999999</v>
      </c>
      <c r="G191" s="573">
        <v>229.89000000000001</v>
      </c>
      <c r="H191" s="574">
        <v>22260</v>
      </c>
      <c r="I191" s="576">
        <v>95.547759496103708</v>
      </c>
      <c r="J191" s="561">
        <v>98.308767263233079</v>
      </c>
      <c r="K191" s="562"/>
      <c r="L191" s="562"/>
      <c r="M191" s="562"/>
      <c r="N191" s="562"/>
      <c r="O191" s="562"/>
    </row>
    <row r="192" spans="1:15" s="488" customFormat="1" ht="12.75" x14ac:dyDescent="0.2">
      <c r="A192" s="507">
        <v>43282</v>
      </c>
      <c r="B192" s="572" t="s">
        <v>825</v>
      </c>
      <c r="C192" s="560">
        <v>15970.869999999999</v>
      </c>
      <c r="D192" s="573">
        <v>20955.38</v>
      </c>
      <c r="E192" s="573">
        <v>18697.900000000001</v>
      </c>
      <c r="F192" s="573">
        <v>143.86000000000001</v>
      </c>
      <c r="G192" s="573">
        <v>232.79000000000002</v>
      </c>
      <c r="H192" s="574">
        <v>22437</v>
      </c>
      <c r="I192" s="576">
        <v>96.612403207879666</v>
      </c>
      <c r="J192" s="561">
        <v>98.995966788138247</v>
      </c>
      <c r="K192" s="562"/>
      <c r="L192" s="562"/>
      <c r="M192" s="562"/>
      <c r="N192" s="562"/>
      <c r="O192" s="562"/>
    </row>
    <row r="193" spans="1:15" s="488" customFormat="1" ht="12.75" x14ac:dyDescent="0.2">
      <c r="A193" s="507">
        <v>43313</v>
      </c>
      <c r="B193" s="572" t="s">
        <v>825</v>
      </c>
      <c r="C193" s="560">
        <v>16147.300000000001</v>
      </c>
      <c r="D193" s="573">
        <v>21010.87</v>
      </c>
      <c r="E193" s="573">
        <v>18832.599999999999</v>
      </c>
      <c r="F193" s="573">
        <v>145.5</v>
      </c>
      <c r="G193" s="573">
        <v>228.25000000000003</v>
      </c>
      <c r="H193" s="574">
        <v>22628.6</v>
      </c>
      <c r="I193" s="576">
        <v>97.235137480887303</v>
      </c>
      <c r="J193" s="561">
        <v>99.347323996438931</v>
      </c>
      <c r="K193" s="562"/>
      <c r="L193" s="562"/>
      <c r="M193" s="562"/>
      <c r="N193" s="562"/>
      <c r="O193" s="562"/>
    </row>
    <row r="194" spans="1:15" s="488" customFormat="1" ht="12.75" x14ac:dyDescent="0.2">
      <c r="A194" s="507">
        <v>43344</v>
      </c>
      <c r="B194" s="572" t="s">
        <v>825</v>
      </c>
      <c r="C194" s="560">
        <v>16923.830000000002</v>
      </c>
      <c r="D194" s="573">
        <v>22136.37</v>
      </c>
      <c r="E194" s="573">
        <v>19709.489999999998</v>
      </c>
      <c r="F194" s="573">
        <v>149</v>
      </c>
      <c r="G194" s="573">
        <v>233.21</v>
      </c>
      <c r="H194" s="574">
        <v>23613</v>
      </c>
      <c r="I194" s="576">
        <v>95.292974847771276</v>
      </c>
      <c r="J194" s="561">
        <v>96.415485939511541</v>
      </c>
      <c r="K194" s="562"/>
      <c r="L194" s="562"/>
      <c r="M194" s="562"/>
      <c r="N194" s="562"/>
      <c r="O194" s="562"/>
    </row>
    <row r="195" spans="1:15" s="488" customFormat="1" ht="12.75" x14ac:dyDescent="0.2">
      <c r="A195" s="507">
        <v>43374</v>
      </c>
      <c r="B195" s="572" t="s">
        <v>825</v>
      </c>
      <c r="C195" s="560">
        <v>17437.620000000003</v>
      </c>
      <c r="D195" s="573">
        <v>22165.829999999998</v>
      </c>
      <c r="E195" s="573">
        <v>19781.239999999998</v>
      </c>
      <c r="F195" s="573">
        <v>154.13</v>
      </c>
      <c r="G195" s="573">
        <v>242.35999999999999</v>
      </c>
      <c r="H195" s="574">
        <v>24101</v>
      </c>
      <c r="I195" s="576">
        <v>92.171167491127392</v>
      </c>
      <c r="J195" s="561">
        <v>92.778142800096276</v>
      </c>
      <c r="K195" s="562"/>
      <c r="L195" s="562"/>
      <c r="M195" s="562"/>
      <c r="N195" s="562"/>
      <c r="O195" s="562"/>
    </row>
    <row r="196" spans="1:15" s="488" customFormat="1" ht="12.75" x14ac:dyDescent="0.2">
      <c r="A196" s="507">
        <v>43405</v>
      </c>
      <c r="B196" s="572" t="s">
        <v>825</v>
      </c>
      <c r="C196" s="560">
        <v>17967.22</v>
      </c>
      <c r="D196" s="573">
        <v>22964.799999999999</v>
      </c>
      <c r="E196" s="573">
        <v>20469.16</v>
      </c>
      <c r="F196" s="573">
        <v>158.46</v>
      </c>
      <c r="G196" s="573">
        <v>257.48</v>
      </c>
      <c r="H196" s="574">
        <v>24852.699999999997</v>
      </c>
      <c r="I196" s="576">
        <v>89.166884998162516</v>
      </c>
      <c r="J196" s="561">
        <v>91.081369333287967</v>
      </c>
      <c r="K196" s="562"/>
      <c r="L196" s="562"/>
      <c r="M196" s="562"/>
      <c r="N196" s="562"/>
      <c r="O196" s="562"/>
    </row>
    <row r="197" spans="1:15" s="488" customFormat="1" ht="12.75" x14ac:dyDescent="0.2">
      <c r="A197" s="507">
        <v>43435</v>
      </c>
      <c r="B197" s="572" t="s">
        <v>825</v>
      </c>
      <c r="C197" s="560">
        <v>18274.989999999998</v>
      </c>
      <c r="D197" s="573">
        <v>23186.39</v>
      </c>
      <c r="E197" s="573">
        <v>20899.28</v>
      </c>
      <c r="F197" s="573">
        <v>165.47</v>
      </c>
      <c r="G197" s="573">
        <v>261.32</v>
      </c>
      <c r="H197" s="574">
        <v>25351.1</v>
      </c>
      <c r="I197" s="576">
        <v>87.361596000441679</v>
      </c>
      <c r="J197" s="577">
        <v>89.405280581926121</v>
      </c>
      <c r="K197" s="562"/>
      <c r="L197" s="562"/>
      <c r="M197" s="562"/>
      <c r="N197" s="562"/>
      <c r="O197" s="562"/>
    </row>
    <row r="198" spans="1:15" s="488" customFormat="1" ht="12.75" x14ac:dyDescent="0.2">
      <c r="A198" s="508">
        <v>43466</v>
      </c>
      <c r="B198" s="578" t="s">
        <v>825</v>
      </c>
      <c r="C198" s="571">
        <v>17988.21</v>
      </c>
      <c r="D198" s="571">
        <v>23599.629999999997</v>
      </c>
      <c r="E198" s="571">
        <v>20677.449999999997</v>
      </c>
      <c r="F198" s="558">
        <v>165.23000000000002</v>
      </c>
      <c r="G198" s="558">
        <v>252.51999999999998</v>
      </c>
      <c r="H198" s="571">
        <v>25196</v>
      </c>
      <c r="I198" s="563">
        <v>85.968110843336476</v>
      </c>
      <c r="J198" s="558">
        <v>88.395808592443416</v>
      </c>
      <c r="K198" s="562"/>
      <c r="L198" s="562"/>
      <c r="M198" s="562"/>
      <c r="N198" s="562"/>
      <c r="O198" s="562"/>
    </row>
    <row r="199" spans="1:15" s="488" customFormat="1" ht="12.75" x14ac:dyDescent="0.2">
      <c r="A199" s="508">
        <v>43497</v>
      </c>
      <c r="B199" s="578" t="s">
        <v>825</v>
      </c>
      <c r="C199" s="579">
        <v>17979.939999999999</v>
      </c>
      <c r="D199" s="579">
        <v>23922.309999999998</v>
      </c>
      <c r="E199" s="579">
        <v>20456.68</v>
      </c>
      <c r="F199" s="580">
        <v>162.16</v>
      </c>
      <c r="G199" s="580">
        <v>252.42</v>
      </c>
      <c r="H199" s="568">
        <v>25135.596521200001</v>
      </c>
      <c r="I199" s="569">
        <v>87.412375244786105</v>
      </c>
      <c r="J199" s="558">
        <v>89.100475985808117</v>
      </c>
      <c r="K199" s="562"/>
      <c r="L199" s="562"/>
      <c r="M199" s="562"/>
      <c r="N199" s="562"/>
      <c r="O199" s="562"/>
    </row>
    <row r="200" spans="1:15" s="488" customFormat="1" ht="12.75" x14ac:dyDescent="0.2">
      <c r="A200" s="508">
        <v>43525</v>
      </c>
      <c r="B200" s="578" t="s">
        <v>825</v>
      </c>
      <c r="C200" s="571">
        <v>17613</v>
      </c>
      <c r="D200" s="571">
        <v>23015.79</v>
      </c>
      <c r="E200" s="571">
        <v>19780.28</v>
      </c>
      <c r="F200" s="558">
        <v>158.97</v>
      </c>
      <c r="G200" s="558">
        <v>254.61999999999998</v>
      </c>
      <c r="H200" s="571">
        <v>24451.24725</v>
      </c>
      <c r="I200" s="563">
        <v>87.369864094931259</v>
      </c>
      <c r="J200" s="558">
        <v>88.658738216909654</v>
      </c>
      <c r="K200" s="562"/>
      <c r="L200" s="562"/>
      <c r="M200" s="562"/>
      <c r="N200" s="562"/>
      <c r="O200" s="562"/>
    </row>
    <row r="201" spans="1:15" s="488" customFormat="1" ht="12.75" x14ac:dyDescent="0.2">
      <c r="A201" s="508">
        <v>43556</v>
      </c>
      <c r="B201" s="578" t="s">
        <v>825</v>
      </c>
      <c r="C201" s="571">
        <v>17546.350000000002</v>
      </c>
      <c r="D201" s="571">
        <v>22704.98</v>
      </c>
      <c r="E201" s="571">
        <v>19634.370000000003</v>
      </c>
      <c r="F201" s="558">
        <v>157.22</v>
      </c>
      <c r="G201" s="558">
        <v>251.27</v>
      </c>
      <c r="H201" s="571">
        <v>24315.029976000002</v>
      </c>
      <c r="I201" s="563">
        <v>89.402477971023885</v>
      </c>
      <c r="J201" s="558">
        <v>90.532423134901876</v>
      </c>
      <c r="K201" s="562"/>
      <c r="L201" s="562"/>
      <c r="M201" s="562"/>
      <c r="N201" s="562"/>
      <c r="O201" s="562"/>
    </row>
    <row r="202" spans="1:15" s="488" customFormat="1" ht="12.75" x14ac:dyDescent="0.2">
      <c r="A202" s="508">
        <v>43586</v>
      </c>
      <c r="B202" s="578" t="s">
        <v>825</v>
      </c>
      <c r="C202" s="571">
        <v>17641.28</v>
      </c>
      <c r="D202" s="571">
        <v>22249.18</v>
      </c>
      <c r="E202" s="571">
        <v>19642.68</v>
      </c>
      <c r="F202" s="558">
        <v>161.44</v>
      </c>
      <c r="G202" s="558">
        <v>252.68</v>
      </c>
      <c r="H202" s="571">
        <v>24302.980153600001</v>
      </c>
      <c r="I202" s="563">
        <v>89.309865491334619</v>
      </c>
      <c r="J202" s="558">
        <v>91.631583556722902</v>
      </c>
      <c r="K202" s="562"/>
      <c r="L202" s="562"/>
      <c r="M202" s="562"/>
      <c r="N202" s="562"/>
      <c r="O202" s="562"/>
    </row>
    <row r="203" spans="1:15" s="488" customFormat="1" ht="12.75" x14ac:dyDescent="0.2">
      <c r="A203" s="508">
        <v>43617</v>
      </c>
      <c r="B203" s="578" t="s">
        <v>825</v>
      </c>
      <c r="C203" s="571">
        <v>17654.239999999998</v>
      </c>
      <c r="D203" s="571">
        <v>22367.040000000001</v>
      </c>
      <c r="E203" s="571">
        <v>20070.22</v>
      </c>
      <c r="F203" s="558">
        <v>164.04000000000002</v>
      </c>
      <c r="G203" s="558">
        <v>255.60999999999999</v>
      </c>
      <c r="H203" s="571">
        <v>24543.100990399998</v>
      </c>
      <c r="I203" s="563">
        <v>89.058873052376867</v>
      </c>
      <c r="J203" s="558">
        <v>92.107033218181698</v>
      </c>
      <c r="K203" s="562"/>
      <c r="L203" s="562"/>
      <c r="M203" s="562"/>
      <c r="N203" s="562"/>
      <c r="O203" s="562"/>
    </row>
    <row r="204" spans="1:15" s="488" customFormat="1" ht="12.75" x14ac:dyDescent="0.2">
      <c r="A204" s="508">
        <v>43647</v>
      </c>
      <c r="B204" s="578" t="s">
        <v>825</v>
      </c>
      <c r="C204" s="571">
        <v>17624.2</v>
      </c>
      <c r="D204" s="571">
        <v>21416.93</v>
      </c>
      <c r="E204" s="571">
        <v>19656.27</v>
      </c>
      <c r="F204" s="558">
        <v>162.35</v>
      </c>
      <c r="G204" s="558">
        <v>256.07</v>
      </c>
      <c r="H204" s="571">
        <v>24240.677164000001</v>
      </c>
      <c r="I204" s="563">
        <v>89.214675243426143</v>
      </c>
      <c r="J204" s="558">
        <v>91.774790677964617</v>
      </c>
      <c r="K204" s="562"/>
      <c r="L204" s="562"/>
      <c r="M204" s="562"/>
      <c r="N204" s="562"/>
      <c r="O204" s="562"/>
    </row>
    <row r="205" spans="1:15" s="488" customFormat="1" ht="12.75" x14ac:dyDescent="0.2">
      <c r="A205" s="508">
        <v>43678</v>
      </c>
      <c r="B205" s="578" t="s">
        <v>825</v>
      </c>
      <c r="C205" s="571">
        <v>18072.43</v>
      </c>
      <c r="D205" s="571">
        <v>22017.64</v>
      </c>
      <c r="E205" s="571">
        <v>19969.13</v>
      </c>
      <c r="F205" s="558">
        <v>169.70000000000002</v>
      </c>
      <c r="G205" s="558">
        <v>252.09</v>
      </c>
      <c r="H205" s="571">
        <v>24729.228866199999</v>
      </c>
      <c r="I205" s="563">
        <v>89.44901710586322</v>
      </c>
      <c r="J205" s="558">
        <v>91.84077214449448</v>
      </c>
      <c r="K205" s="562"/>
      <c r="L205" s="562"/>
      <c r="M205" s="562"/>
      <c r="N205" s="562"/>
      <c r="O205" s="562"/>
    </row>
    <row r="206" spans="1:15" s="488" customFormat="1" ht="12.75" x14ac:dyDescent="0.2">
      <c r="A206" s="508">
        <v>43709</v>
      </c>
      <c r="B206" s="578" t="s">
        <v>825</v>
      </c>
      <c r="C206" s="571">
        <v>18192.72</v>
      </c>
      <c r="D206" s="571">
        <v>22357.94</v>
      </c>
      <c r="E206" s="571">
        <v>19893.739999999998</v>
      </c>
      <c r="F206" s="558">
        <v>168.6</v>
      </c>
      <c r="G206" s="558">
        <v>258.02</v>
      </c>
      <c r="H206" s="571">
        <v>24802.317103199999</v>
      </c>
      <c r="I206" s="563">
        <v>88.257107726627794</v>
      </c>
      <c r="J206" s="558">
        <v>91.098133329293802</v>
      </c>
      <c r="K206" s="562"/>
      <c r="L206" s="562"/>
      <c r="M206" s="562"/>
      <c r="N206" s="562"/>
      <c r="O206" s="562"/>
    </row>
    <row r="207" spans="1:15" s="488" customFormat="1" ht="12.75" x14ac:dyDescent="0.2">
      <c r="A207" s="508">
        <v>43739</v>
      </c>
      <c r="B207" s="578" t="s">
        <v>825</v>
      </c>
      <c r="C207" s="571">
        <v>18160.11</v>
      </c>
      <c r="D207" s="571">
        <v>23466.489999999998</v>
      </c>
      <c r="E207" s="571">
        <v>20273.04</v>
      </c>
      <c r="F207" s="558">
        <v>167.12</v>
      </c>
      <c r="G207" s="558">
        <v>252.47000000000003</v>
      </c>
      <c r="H207" s="571">
        <v>25049.874132899997</v>
      </c>
      <c r="I207" s="563">
        <v>87.654069951442025</v>
      </c>
      <c r="J207" s="558">
        <v>90.230175494076974</v>
      </c>
      <c r="K207" s="562"/>
      <c r="L207" s="562"/>
      <c r="M207" s="562"/>
      <c r="N207" s="562"/>
      <c r="O207" s="562"/>
    </row>
    <row r="208" spans="1:15" s="488" customFormat="1" ht="12.75" x14ac:dyDescent="0.2">
      <c r="A208" s="508">
        <v>43770</v>
      </c>
      <c r="B208" s="578" t="s">
        <v>825</v>
      </c>
      <c r="C208" s="571">
        <v>18043.23</v>
      </c>
      <c r="D208" s="571">
        <v>23292.91</v>
      </c>
      <c r="E208" s="571">
        <v>19869.2</v>
      </c>
      <c r="F208" s="558">
        <v>164.78</v>
      </c>
      <c r="G208" s="558">
        <v>252.34</v>
      </c>
      <c r="H208" s="571">
        <v>24771.550467000001</v>
      </c>
      <c r="I208" s="563">
        <v>87.926357379466566</v>
      </c>
      <c r="J208" s="558">
        <v>91.639524641315433</v>
      </c>
      <c r="K208" s="562"/>
      <c r="L208" s="562"/>
      <c r="M208" s="562"/>
      <c r="N208" s="562"/>
      <c r="O208" s="562"/>
    </row>
    <row r="209" spans="1:16" s="488" customFormat="1" ht="12.75" x14ac:dyDescent="0.2">
      <c r="A209" s="508">
        <v>43800</v>
      </c>
      <c r="B209" s="578" t="s">
        <v>825</v>
      </c>
      <c r="C209" s="571">
        <v>18163.399999999998</v>
      </c>
      <c r="D209" s="571">
        <v>23845.82</v>
      </c>
      <c r="E209" s="571">
        <v>20366.62</v>
      </c>
      <c r="F209" s="558">
        <v>167.17</v>
      </c>
      <c r="G209" s="558">
        <v>254.67</v>
      </c>
      <c r="H209" s="571">
        <v>25116.89</v>
      </c>
      <c r="I209" s="563">
        <v>87.182793549904233</v>
      </c>
      <c r="J209" s="558">
        <v>91.20032815525127</v>
      </c>
      <c r="K209" s="562"/>
      <c r="L209" s="562"/>
      <c r="M209" s="562"/>
      <c r="N209" s="562"/>
      <c r="O209" s="562"/>
    </row>
    <row r="210" spans="1:16" s="488" customFormat="1" ht="12.75" x14ac:dyDescent="0.2">
      <c r="A210" s="507">
        <v>43831</v>
      </c>
      <c r="B210" s="572" t="s">
        <v>825</v>
      </c>
      <c r="C210" s="560">
        <v>18158.57</v>
      </c>
      <c r="D210" s="573">
        <v>23786.82</v>
      </c>
      <c r="E210" s="573">
        <v>20027.989999999998</v>
      </c>
      <c r="F210" s="573">
        <v>166.48000000000002</v>
      </c>
      <c r="G210" s="573">
        <v>253.08</v>
      </c>
      <c r="H210" s="574">
        <v>25003.442961500001</v>
      </c>
      <c r="I210" s="575">
        <v>86.934133659042132</v>
      </c>
      <c r="J210" s="561">
        <v>92.489502512562112</v>
      </c>
      <c r="K210" s="562"/>
      <c r="L210" s="562"/>
      <c r="M210" s="562"/>
      <c r="N210" s="562"/>
      <c r="O210" s="562"/>
      <c r="P210" s="562"/>
    </row>
    <row r="211" spans="1:16" s="488" customFormat="1" ht="12.75" x14ac:dyDescent="0.2">
      <c r="A211" s="507">
        <v>43862</v>
      </c>
      <c r="B211" s="572" t="s">
        <v>825</v>
      </c>
      <c r="C211" s="560">
        <v>18180.71</v>
      </c>
      <c r="D211" s="573">
        <v>23432.21</v>
      </c>
      <c r="E211" s="573">
        <v>19978.78</v>
      </c>
      <c r="F211" s="573">
        <v>166.28</v>
      </c>
      <c r="G211" s="573">
        <v>253.73000000000002</v>
      </c>
      <c r="H211" s="574">
        <v>24967.2054288</v>
      </c>
      <c r="I211" s="576">
        <v>87.624901092311916</v>
      </c>
      <c r="J211" s="561">
        <v>93.085737505545069</v>
      </c>
      <c r="K211" s="562"/>
      <c r="L211" s="562"/>
      <c r="M211" s="562"/>
      <c r="N211" s="562"/>
      <c r="O211" s="562"/>
    </row>
    <row r="212" spans="1:16" s="488" customFormat="1" ht="12.75" x14ac:dyDescent="0.2">
      <c r="A212" s="507">
        <v>43891</v>
      </c>
      <c r="B212" s="572" t="s">
        <v>825</v>
      </c>
      <c r="C212" s="560">
        <v>18862.36</v>
      </c>
      <c r="D212" s="573">
        <v>23266.720000000001</v>
      </c>
      <c r="E212" s="573">
        <v>20795.75</v>
      </c>
      <c r="F212" s="573">
        <v>173.81</v>
      </c>
      <c r="G212" s="573">
        <v>250.13</v>
      </c>
      <c r="H212" s="574">
        <v>25743.348927999999</v>
      </c>
      <c r="I212" s="576">
        <v>87.353399411678623</v>
      </c>
      <c r="J212" s="561">
        <v>92.309204751282692</v>
      </c>
      <c r="K212" s="562"/>
      <c r="L212" s="562"/>
      <c r="M212" s="562"/>
      <c r="N212" s="562"/>
      <c r="O212" s="562"/>
    </row>
    <row r="213" spans="1:16" s="488" customFormat="1" ht="12.75" x14ac:dyDescent="0.2">
      <c r="A213" s="507">
        <v>43922</v>
      </c>
      <c r="B213" s="572" t="s">
        <v>825</v>
      </c>
      <c r="C213" s="560">
        <v>19285</v>
      </c>
      <c r="D213" s="573">
        <v>24017.54</v>
      </c>
      <c r="E213" s="573">
        <v>20955.080000000002</v>
      </c>
      <c r="F213" s="573">
        <v>180.70999999999998</v>
      </c>
      <c r="G213" s="573">
        <v>255.67000000000002</v>
      </c>
      <c r="H213" s="574">
        <v>26406.5648</v>
      </c>
      <c r="I213" s="576">
        <v>84.727432505028986</v>
      </c>
      <c r="J213" s="561">
        <v>89.884441595942789</v>
      </c>
      <c r="K213" s="562"/>
      <c r="L213" s="562"/>
      <c r="M213" s="562"/>
      <c r="N213" s="562"/>
      <c r="O213" s="562"/>
      <c r="P213" s="562"/>
    </row>
    <row r="214" spans="1:16" s="488" customFormat="1" ht="12.75" x14ac:dyDescent="0.2">
      <c r="A214" s="507">
        <v>43952</v>
      </c>
      <c r="B214" s="572" t="s">
        <v>825</v>
      </c>
      <c r="C214" s="560">
        <v>18628.649999999998</v>
      </c>
      <c r="D214" s="573">
        <v>22955.15</v>
      </c>
      <c r="E214" s="573">
        <v>20650.79</v>
      </c>
      <c r="F214" s="573">
        <v>173.43</v>
      </c>
      <c r="G214" s="573">
        <v>245.98</v>
      </c>
      <c r="H214" s="574">
        <v>25558.880373</v>
      </c>
      <c r="I214" s="576">
        <v>86.942525259919179</v>
      </c>
      <c r="J214" s="561">
        <v>92.701864327960195</v>
      </c>
      <c r="K214" s="562"/>
      <c r="L214" s="562"/>
      <c r="M214" s="562"/>
      <c r="N214" s="562"/>
      <c r="O214" s="562"/>
    </row>
    <row r="215" spans="1:16" s="488" customFormat="1" ht="12.75" x14ac:dyDescent="0.2">
      <c r="A215" s="507">
        <v>43983</v>
      </c>
      <c r="B215" s="572" t="s">
        <v>825</v>
      </c>
      <c r="C215" s="560">
        <v>18622.919999999998</v>
      </c>
      <c r="D215" s="573">
        <v>22918.3</v>
      </c>
      <c r="E215" s="573">
        <v>20940.539999999997</v>
      </c>
      <c r="F215" s="573">
        <v>172.93</v>
      </c>
      <c r="G215" s="573">
        <v>246.74</v>
      </c>
      <c r="H215" s="574">
        <v>25619.551043999996</v>
      </c>
      <c r="I215" s="576">
        <v>86.736013249497006</v>
      </c>
      <c r="J215" s="561">
        <v>92.887014109995675</v>
      </c>
      <c r="K215" s="562"/>
      <c r="L215" s="562"/>
      <c r="M215" s="562"/>
      <c r="N215" s="562"/>
      <c r="O215" s="562"/>
    </row>
    <row r="216" spans="1:16" s="488" customFormat="1" ht="12.75" x14ac:dyDescent="0.2">
      <c r="A216" s="507">
        <v>44013</v>
      </c>
      <c r="B216" s="572" t="s">
        <v>825</v>
      </c>
      <c r="C216" s="560">
        <v>18567.689999999999</v>
      </c>
      <c r="D216" s="573">
        <v>24383.09</v>
      </c>
      <c r="E216" s="573">
        <v>22070.48</v>
      </c>
      <c r="F216" s="573">
        <v>178.15</v>
      </c>
      <c r="G216" s="573">
        <v>243.51</v>
      </c>
      <c r="H216" s="574">
        <v>26237.445708299998</v>
      </c>
      <c r="I216" s="576">
        <v>86.271651955301238</v>
      </c>
      <c r="J216" s="561">
        <v>92.155575067458145</v>
      </c>
      <c r="K216" s="562"/>
      <c r="L216" s="562"/>
      <c r="M216" s="562"/>
      <c r="N216" s="562"/>
      <c r="O216" s="562"/>
      <c r="P216" s="562"/>
    </row>
    <row r="217" spans="1:16" s="488" customFormat="1" ht="12.75" x14ac:dyDescent="0.2">
      <c r="A217" s="507">
        <v>44044</v>
      </c>
      <c r="B217" s="572" t="s">
        <v>825</v>
      </c>
      <c r="C217" s="560">
        <v>18615.780000000002</v>
      </c>
      <c r="D217" s="573">
        <v>24841.829999999998</v>
      </c>
      <c r="E217" s="573">
        <v>22166.739999999998</v>
      </c>
      <c r="F217" s="573">
        <v>176.51</v>
      </c>
      <c r="G217" s="573">
        <v>254.61</v>
      </c>
      <c r="H217" s="574">
        <v>26414.116399799997</v>
      </c>
      <c r="I217" s="576">
        <v>85.828426216927738</v>
      </c>
      <c r="J217" s="561">
        <v>91.319422023069677</v>
      </c>
      <c r="K217" s="562"/>
      <c r="L217" s="562"/>
      <c r="M217" s="562"/>
      <c r="N217" s="562"/>
      <c r="O217" s="562"/>
    </row>
    <row r="218" spans="1:16" s="488" customFormat="1" ht="12.75" x14ac:dyDescent="0.2">
      <c r="A218" s="507">
        <v>44075</v>
      </c>
      <c r="B218" s="572" t="s">
        <v>825</v>
      </c>
      <c r="C218" s="560">
        <v>18552.240000000002</v>
      </c>
      <c r="D218" s="573">
        <v>23873.02</v>
      </c>
      <c r="E218" s="573">
        <v>21797.030000000002</v>
      </c>
      <c r="F218" s="573">
        <v>175.53</v>
      </c>
      <c r="G218" s="573">
        <v>251.52</v>
      </c>
      <c r="H218" s="574">
        <v>26113.576456800001</v>
      </c>
      <c r="I218" s="576">
        <v>85.550848865981209</v>
      </c>
      <c r="J218" s="561">
        <v>91.493310084718544</v>
      </c>
      <c r="K218" s="562"/>
      <c r="L218" s="562"/>
      <c r="M218" s="562"/>
      <c r="N218" s="562"/>
      <c r="O218" s="562"/>
    </row>
    <row r="219" spans="1:16" s="488" customFormat="1" ht="12.75" x14ac:dyDescent="0.2">
      <c r="A219" s="507">
        <v>44105</v>
      </c>
      <c r="B219" s="572" t="s">
        <v>825</v>
      </c>
      <c r="C219" s="560">
        <v>18427.690000000002</v>
      </c>
      <c r="D219" s="573">
        <v>23944.94</v>
      </c>
      <c r="E219" s="573">
        <v>21664.510000000002</v>
      </c>
      <c r="F219" s="573">
        <v>176.45</v>
      </c>
      <c r="G219" s="573">
        <v>248.25</v>
      </c>
      <c r="H219" s="574">
        <v>26019.714003100002</v>
      </c>
      <c r="I219" s="576">
        <v>85.628018429540447</v>
      </c>
      <c r="J219" s="561">
        <v>91.398794030012866</v>
      </c>
      <c r="K219" s="562"/>
      <c r="L219" s="562"/>
      <c r="M219" s="562"/>
      <c r="N219" s="562"/>
      <c r="O219" s="562"/>
      <c r="P219" s="562"/>
    </row>
    <row r="220" spans="1:16" s="488" customFormat="1" ht="12.75" x14ac:dyDescent="0.2">
      <c r="A220" s="507">
        <v>44136</v>
      </c>
      <c r="B220" s="572" t="s">
        <v>825</v>
      </c>
      <c r="C220" s="560">
        <v>18496.009999999998</v>
      </c>
      <c r="D220" s="573">
        <v>24670.9</v>
      </c>
      <c r="E220" s="573">
        <v>22141.57</v>
      </c>
      <c r="F220" s="573">
        <v>178.06</v>
      </c>
      <c r="G220" s="573">
        <v>250.17</v>
      </c>
      <c r="H220" s="574">
        <v>26450.958940900007</v>
      </c>
      <c r="I220" s="576">
        <v>84.943022654868585</v>
      </c>
      <c r="J220" s="561">
        <v>91.128413199601482</v>
      </c>
      <c r="K220" s="562"/>
      <c r="L220" s="562"/>
      <c r="M220" s="562"/>
      <c r="N220" s="562"/>
      <c r="O220" s="562"/>
    </row>
    <row r="221" spans="1:16" s="488" customFormat="1" ht="12.75" x14ac:dyDescent="0.2">
      <c r="A221" s="507">
        <v>44166</v>
      </c>
      <c r="B221" s="572" t="s">
        <v>825</v>
      </c>
      <c r="C221" s="560">
        <v>18640.82</v>
      </c>
      <c r="D221" s="573">
        <v>25435.4</v>
      </c>
      <c r="E221" s="573">
        <v>22942.19</v>
      </c>
      <c r="F221" s="573">
        <v>180.81</v>
      </c>
      <c r="G221" s="573">
        <v>254.67</v>
      </c>
      <c r="H221" s="574">
        <v>26847.813821399996</v>
      </c>
      <c r="I221" s="576">
        <v>82.947333891970189</v>
      </c>
      <c r="J221" s="577">
        <v>88.178431659887224</v>
      </c>
      <c r="K221" s="562"/>
      <c r="L221" s="562"/>
      <c r="M221" s="562"/>
      <c r="N221" s="562"/>
      <c r="O221" s="562"/>
    </row>
    <row r="222" spans="1:16" s="488" customFormat="1" ht="12.75" x14ac:dyDescent="0.2">
      <c r="A222" s="508">
        <v>44197</v>
      </c>
      <c r="B222" s="578" t="s">
        <v>825</v>
      </c>
      <c r="C222" s="571">
        <v>19439.48</v>
      </c>
      <c r="D222" s="571">
        <v>26654.44</v>
      </c>
      <c r="E222" s="571">
        <v>23533.43</v>
      </c>
      <c r="F222" s="558">
        <v>186.09</v>
      </c>
      <c r="G222" s="558">
        <v>266.36</v>
      </c>
      <c r="H222" s="571">
        <v>28008.402784000002</v>
      </c>
      <c r="I222" s="563">
        <v>80.827008238063954</v>
      </c>
      <c r="J222" s="558">
        <v>86.310142529583118</v>
      </c>
      <c r="K222" s="562"/>
      <c r="L222" s="562"/>
      <c r="M222" s="562"/>
      <c r="N222" s="562"/>
      <c r="O222" s="562"/>
    </row>
    <row r="223" spans="1:16" s="488" customFormat="1" ht="12.75" x14ac:dyDescent="0.2">
      <c r="A223" s="508">
        <v>44228</v>
      </c>
      <c r="B223" s="578" t="s">
        <v>825</v>
      </c>
      <c r="C223" s="579">
        <v>19401.189999999999</v>
      </c>
      <c r="D223" s="579">
        <v>27430.37</v>
      </c>
      <c r="E223" s="579">
        <v>23594.76</v>
      </c>
      <c r="F223" s="580">
        <v>183</v>
      </c>
      <c r="G223" s="580">
        <v>268.27</v>
      </c>
      <c r="H223" s="568">
        <v>28066.731513499995</v>
      </c>
      <c r="I223" s="569">
        <v>79.273595779930304</v>
      </c>
      <c r="J223" s="558">
        <v>84.599183120760259</v>
      </c>
      <c r="K223" s="562"/>
      <c r="L223" s="562"/>
      <c r="M223" s="562"/>
      <c r="N223" s="562"/>
      <c r="O223" s="562"/>
    </row>
    <row r="224" spans="1:16" s="488" customFormat="1" ht="12.75" x14ac:dyDescent="0.2">
      <c r="A224" s="508">
        <v>44256</v>
      </c>
      <c r="B224" s="578" t="s">
        <v>825</v>
      </c>
      <c r="C224" s="571">
        <v>19903.77</v>
      </c>
      <c r="D224" s="571">
        <v>27322.899999999998</v>
      </c>
      <c r="E224" s="571">
        <v>23309.309999999998</v>
      </c>
      <c r="F224" s="558">
        <v>179.87</v>
      </c>
      <c r="G224" s="558">
        <v>261.03000000000003</v>
      </c>
      <c r="H224" s="571">
        <v>28207.821881699998</v>
      </c>
      <c r="I224" s="563">
        <v>78.75456370340207</v>
      </c>
      <c r="J224" s="558">
        <v>83.722938012414104</v>
      </c>
      <c r="K224" s="562"/>
      <c r="L224" s="562"/>
      <c r="M224" s="562"/>
      <c r="N224" s="562"/>
      <c r="O224" s="562"/>
    </row>
    <row r="225" spans="1:15" s="488" customFormat="1" ht="12.75" x14ac:dyDescent="0.2">
      <c r="A225" s="508">
        <v>44287</v>
      </c>
      <c r="B225" s="578" t="s">
        <v>825</v>
      </c>
      <c r="C225" s="571">
        <v>19954.37</v>
      </c>
      <c r="D225" s="571">
        <v>27831.360000000001</v>
      </c>
      <c r="E225" s="571">
        <v>24182.7</v>
      </c>
      <c r="F225" s="558">
        <v>183.48</v>
      </c>
      <c r="G225" s="558">
        <v>269.28999999999996</v>
      </c>
      <c r="H225" s="571">
        <v>28654.275776300001</v>
      </c>
      <c r="I225" s="563">
        <v>79.01824397230051</v>
      </c>
      <c r="J225" s="558">
        <v>83.582621606694758</v>
      </c>
      <c r="K225" s="562"/>
      <c r="L225" s="562"/>
      <c r="M225" s="562"/>
      <c r="N225" s="562"/>
      <c r="O225" s="562"/>
    </row>
    <row r="226" spans="1:15" s="488" customFormat="1" ht="12.75" x14ac:dyDescent="0.2">
      <c r="A226" s="508">
        <v>44317</v>
      </c>
      <c r="B226" s="578" t="s">
        <v>825</v>
      </c>
      <c r="C226" s="571">
        <v>19950</v>
      </c>
      <c r="D226" s="571">
        <v>28327.999999999996</v>
      </c>
      <c r="E226" s="571">
        <v>24339</v>
      </c>
      <c r="F226" s="558">
        <v>181.94</v>
      </c>
      <c r="G226" s="558">
        <v>275.51</v>
      </c>
      <c r="H226" s="571">
        <v>28821.166499999999</v>
      </c>
      <c r="I226" s="563">
        <v>77.464740134489006</v>
      </c>
      <c r="J226" s="558">
        <v>82.406542799238323</v>
      </c>
      <c r="K226" s="562"/>
      <c r="L226" s="562"/>
      <c r="M226" s="562"/>
      <c r="N226" s="562"/>
      <c r="O226" s="562"/>
    </row>
    <row r="227" spans="1:15" s="488" customFormat="1" ht="12.75" x14ac:dyDescent="0.2">
      <c r="A227" s="508">
        <v>44348</v>
      </c>
      <c r="B227" s="578" t="s">
        <v>825</v>
      </c>
      <c r="C227" s="571">
        <v>20113.810000000001</v>
      </c>
      <c r="D227" s="571">
        <v>27873.719999999998</v>
      </c>
      <c r="E227" s="571">
        <v>23948.51</v>
      </c>
      <c r="F227" s="558">
        <v>182.04</v>
      </c>
      <c r="G227" s="558">
        <v>270.70999999999998</v>
      </c>
      <c r="H227" s="571">
        <v>28690.740860200003</v>
      </c>
      <c r="I227" s="563">
        <v>77.555691659711272</v>
      </c>
      <c r="J227" s="558">
        <v>83.440655238187716</v>
      </c>
      <c r="K227" s="562"/>
      <c r="L227" s="562"/>
      <c r="M227" s="562"/>
      <c r="N227" s="562"/>
      <c r="O227" s="562"/>
    </row>
    <row r="228" spans="1:15" s="488" customFormat="1" ht="12.75" x14ac:dyDescent="0.2">
      <c r="A228" s="508">
        <v>44378</v>
      </c>
      <c r="B228" s="578" t="s">
        <v>825</v>
      </c>
      <c r="C228" s="571">
        <v>19990</v>
      </c>
      <c r="D228" s="571">
        <v>27895.05</v>
      </c>
      <c r="E228" s="571">
        <v>23753.120000000003</v>
      </c>
      <c r="F228" s="558">
        <v>182.57000000000002</v>
      </c>
      <c r="G228" s="558">
        <v>269.09999999999997</v>
      </c>
      <c r="H228" s="571">
        <v>28561.112300000001</v>
      </c>
      <c r="I228" s="563">
        <v>78.40243855777733</v>
      </c>
      <c r="J228" s="558">
        <v>84.281485718792453</v>
      </c>
      <c r="K228" s="562"/>
      <c r="L228" s="562"/>
      <c r="M228" s="562"/>
      <c r="N228" s="562"/>
      <c r="O228" s="562"/>
    </row>
    <row r="229" spans="1:15" s="488" customFormat="1" ht="12.75" x14ac:dyDescent="0.2">
      <c r="A229" s="508">
        <v>44409</v>
      </c>
      <c r="B229" s="578" t="s">
        <v>825</v>
      </c>
      <c r="C229" s="571">
        <f>210*100</f>
        <v>21000</v>
      </c>
      <c r="D229" s="571">
        <f>289.065*100</f>
        <v>28906.5</v>
      </c>
      <c r="E229" s="571">
        <f>247.947*100</f>
        <v>24794.7</v>
      </c>
      <c r="F229" s="558">
        <f>1.9116*100</f>
        <v>191.16</v>
      </c>
      <c r="G229" s="558">
        <f>2.8606*100</f>
        <v>286.06</v>
      </c>
      <c r="H229" s="571">
        <f>299.0946*100</f>
        <v>29909.460000000003</v>
      </c>
      <c r="I229" s="563">
        <v>78.084049301812641</v>
      </c>
      <c r="J229" s="558">
        <v>83.953029178831869</v>
      </c>
      <c r="K229" s="562"/>
      <c r="L229" s="562"/>
      <c r="M229" s="562"/>
      <c r="N229" s="562"/>
      <c r="O229" s="562"/>
    </row>
    <row r="230" spans="1:15" s="488" customFormat="1" ht="12.75" x14ac:dyDescent="0.2">
      <c r="A230" s="508">
        <v>44440</v>
      </c>
      <c r="B230" s="578" t="s">
        <v>825</v>
      </c>
      <c r="C230" s="571">
        <f>199.9857*100</f>
        <v>19998.57</v>
      </c>
      <c r="D230" s="571">
        <f>268.9608*100</f>
        <v>26896.080000000002</v>
      </c>
      <c r="E230" s="571">
        <f>232.1034*100</f>
        <v>23210.34</v>
      </c>
      <c r="F230" s="558">
        <f>1.7884*100</f>
        <v>178.84</v>
      </c>
      <c r="G230" s="558">
        <f>2.6897*100</f>
        <v>268.97000000000003</v>
      </c>
      <c r="H230" s="571">
        <f>281.753853159*100</f>
        <v>28175.385315900003</v>
      </c>
      <c r="I230" s="563">
        <v>77.722523543928119</v>
      </c>
      <c r="J230" s="558">
        <v>83.739888530612177</v>
      </c>
      <c r="K230" s="562"/>
      <c r="L230" s="562"/>
      <c r="M230" s="562"/>
      <c r="N230" s="562"/>
      <c r="O230" s="562"/>
    </row>
    <row r="231" spans="1:15" s="488" customFormat="1" ht="12.75" x14ac:dyDescent="0.2">
      <c r="A231" s="508">
        <v>44470</v>
      </c>
      <c r="B231" s="578" t="s">
        <v>825</v>
      </c>
      <c r="C231" s="571">
        <f>201.8705*100</f>
        <v>20187.05</v>
      </c>
      <c r="D231" s="571">
        <f>278.3895*100</f>
        <v>27838.95</v>
      </c>
      <c r="E231" s="571">
        <f>235.6737*100</f>
        <v>23567.37</v>
      </c>
      <c r="F231" s="558">
        <f>1.778*100</f>
        <v>177.8</v>
      </c>
      <c r="G231" s="558">
        <f>2.6992*100</f>
        <v>269.91999999999996</v>
      </c>
      <c r="H231" s="571">
        <f>285.72346829*100</f>
        <v>28572.346829000002</v>
      </c>
      <c r="I231" s="563">
        <v>78.428974776182201</v>
      </c>
      <c r="J231" s="558">
        <v>85.370685995839352</v>
      </c>
      <c r="K231" s="562"/>
      <c r="L231" s="562"/>
      <c r="M231" s="562"/>
      <c r="N231" s="562"/>
      <c r="O231" s="562"/>
    </row>
    <row r="232" spans="1:15" s="488" customFormat="1" ht="12.75" x14ac:dyDescent="0.2">
      <c r="A232" s="508">
        <v>44501</v>
      </c>
      <c r="B232" s="578" t="s">
        <v>825</v>
      </c>
      <c r="C232" s="571">
        <f>202.0474*100</f>
        <v>20204.740000000002</v>
      </c>
      <c r="D232" s="571">
        <f>269.2383*100</f>
        <v>26923.829999999998</v>
      </c>
      <c r="E232" s="571">
        <f>228.3338*100</f>
        <v>22833.38</v>
      </c>
      <c r="F232" s="558">
        <f>1.7776*100</f>
        <v>177.76000000000002</v>
      </c>
      <c r="G232" s="558">
        <f>2.692*100</f>
        <v>269.20000000000005</v>
      </c>
      <c r="H232" s="571">
        <f>283.02799792*100</f>
        <v>28302.799792000002</v>
      </c>
      <c r="I232" s="563">
        <v>78.625401907192995</v>
      </c>
      <c r="J232" s="558">
        <v>87.291881978225277</v>
      </c>
      <c r="K232" s="562"/>
      <c r="L232" s="562"/>
      <c r="M232" s="562"/>
      <c r="N232" s="562"/>
      <c r="O232" s="562"/>
    </row>
    <row r="233" spans="1:15" s="488" customFormat="1" ht="12.75" x14ac:dyDescent="0.2">
      <c r="A233" s="508">
        <v>44531</v>
      </c>
      <c r="B233" s="578" t="s">
        <v>825</v>
      </c>
      <c r="C233" s="571">
        <f>200.4338*100</f>
        <v>20043.379999999997</v>
      </c>
      <c r="D233" s="571">
        <f>270.5957*100</f>
        <v>27059.570000000003</v>
      </c>
      <c r="E233" s="571">
        <f>226.861*100</f>
        <v>22686.1</v>
      </c>
      <c r="F233" s="558">
        <f>1.7415*100</f>
        <v>174.15</v>
      </c>
      <c r="G233" s="558">
        <f>2.6935*100</f>
        <v>269.34999999999997</v>
      </c>
      <c r="H233" s="571">
        <f>280.525142142*100</f>
        <v>28052.5142142</v>
      </c>
      <c r="I233" s="563">
        <v>79.584484868136656</v>
      </c>
      <c r="J233" s="558">
        <v>90.433067032239251</v>
      </c>
      <c r="K233" s="562"/>
      <c r="L233" s="562"/>
      <c r="M233" s="562"/>
      <c r="N233" s="562"/>
      <c r="O233" s="562"/>
    </row>
    <row r="234" spans="1:15" s="488" customFormat="1" ht="12.75" x14ac:dyDescent="0.2">
      <c r="A234" s="507">
        <v>44562</v>
      </c>
      <c r="B234" s="572" t="s">
        <v>825</v>
      </c>
      <c r="C234" s="560">
        <v>20119.099999999999</v>
      </c>
      <c r="D234" s="573">
        <v>26983.74</v>
      </c>
      <c r="E234" s="573">
        <v>22449.899999999998</v>
      </c>
      <c r="F234" s="573">
        <v>174.12</v>
      </c>
      <c r="G234" s="573">
        <v>268.05</v>
      </c>
      <c r="H234" s="574">
        <v>28001.360998</v>
      </c>
      <c r="I234" s="575">
        <v>79.170710120398937</v>
      </c>
      <c r="J234" s="561">
        <v>92.454505858737761</v>
      </c>
      <c r="K234" s="562"/>
      <c r="L234" s="562"/>
      <c r="M234" s="562"/>
      <c r="N234" s="562"/>
      <c r="O234" s="562"/>
    </row>
    <row r="235" spans="1:15" s="488" customFormat="1" ht="12.75" x14ac:dyDescent="0.2">
      <c r="A235" s="507">
        <v>44593</v>
      </c>
      <c r="B235" s="572" t="s">
        <v>825</v>
      </c>
      <c r="C235" s="560">
        <v>20105.71</v>
      </c>
      <c r="D235" s="573">
        <v>26862.23</v>
      </c>
      <c r="E235" s="573">
        <v>22450.04</v>
      </c>
      <c r="F235" s="573">
        <v>174.04999999999998</v>
      </c>
      <c r="G235" s="573">
        <v>267.81</v>
      </c>
      <c r="H235" s="574">
        <v>28044.650650600001</v>
      </c>
      <c r="I235" s="576">
        <v>79.235438551963284</v>
      </c>
      <c r="J235" s="561">
        <v>92.870666511141039</v>
      </c>
      <c r="K235" s="562"/>
      <c r="L235" s="562"/>
      <c r="M235" s="562"/>
      <c r="N235" s="562"/>
      <c r="O235" s="562"/>
    </row>
    <row r="236" spans="1:15" s="488" customFormat="1" ht="12.75" x14ac:dyDescent="0.2">
      <c r="A236" s="507">
        <v>44621</v>
      </c>
      <c r="B236" s="572" t="s">
        <v>825</v>
      </c>
      <c r="C236" s="560">
        <v>29900</v>
      </c>
      <c r="D236" s="573">
        <v>39252.720000000001</v>
      </c>
      <c r="E236" s="573">
        <v>33402.79</v>
      </c>
      <c r="F236" s="573">
        <v>244.97</v>
      </c>
      <c r="G236" s="573">
        <v>394.32</v>
      </c>
      <c r="H236" s="574">
        <v>41333.760000000002</v>
      </c>
      <c r="I236" s="576">
        <v>62.553355829594572</v>
      </c>
      <c r="J236" s="561">
        <v>74.659168577595992</v>
      </c>
      <c r="K236" s="562"/>
      <c r="L236" s="562"/>
      <c r="M236" s="562"/>
      <c r="N236" s="562"/>
      <c r="O236" s="562"/>
    </row>
    <row r="237" spans="1:15" s="488" customFormat="1" ht="12.75" x14ac:dyDescent="0.2">
      <c r="A237" s="507">
        <v>44652</v>
      </c>
      <c r="B237" s="572" t="s">
        <v>825</v>
      </c>
      <c r="C237" s="560">
        <v>34185</v>
      </c>
      <c r="D237" s="573">
        <v>42645.79</v>
      </c>
      <c r="E237" s="573">
        <v>35945.53</v>
      </c>
      <c r="F237" s="573">
        <v>261.39999999999998</v>
      </c>
      <c r="G237" s="573">
        <v>446.17000000000007</v>
      </c>
      <c r="H237" s="574">
        <v>45954.895500000006</v>
      </c>
      <c r="I237" s="576">
        <v>50.88183699643173</v>
      </c>
      <c r="J237" s="561">
        <v>65.796262885179431</v>
      </c>
      <c r="K237" s="562"/>
      <c r="L237" s="562"/>
      <c r="M237" s="562"/>
      <c r="N237" s="562"/>
      <c r="O237" s="562"/>
    </row>
    <row r="238" spans="1:15" s="488" customFormat="1" ht="12.75" x14ac:dyDescent="0.2">
      <c r="A238" s="507">
        <v>44682</v>
      </c>
      <c r="B238" s="572" t="s">
        <v>825</v>
      </c>
      <c r="C238" s="560">
        <v>36076</v>
      </c>
      <c r="D238" s="573">
        <v>45527.91</v>
      </c>
      <c r="E238" s="573">
        <v>38774.480000000003</v>
      </c>
      <c r="F238" s="573">
        <v>281.78999999999996</v>
      </c>
      <c r="G238" s="573">
        <v>464.58000000000004</v>
      </c>
      <c r="H238" s="574">
        <v>48691.777199999997</v>
      </c>
      <c r="I238" s="576">
        <v>46.224292812032971</v>
      </c>
      <c r="J238" s="561">
        <v>64.331369480513501</v>
      </c>
      <c r="K238" s="562"/>
      <c r="L238" s="562"/>
      <c r="M238" s="562"/>
      <c r="N238" s="562"/>
      <c r="O238" s="562"/>
    </row>
    <row r="239" spans="1:15" s="488" customFormat="1" ht="12.75" x14ac:dyDescent="0.2">
      <c r="A239" s="507">
        <v>44713</v>
      </c>
      <c r="B239" s="572" t="s">
        <v>825</v>
      </c>
      <c r="C239" s="560">
        <v>35987.82</v>
      </c>
      <c r="D239" s="573">
        <v>43687.41</v>
      </c>
      <c r="E239" s="573">
        <v>37627.07</v>
      </c>
      <c r="F239" s="573">
        <v>263.5</v>
      </c>
      <c r="G239" s="573">
        <v>456.22999999999996</v>
      </c>
      <c r="H239" s="574">
        <v>47783.907639600002</v>
      </c>
      <c r="I239" s="576">
        <v>46.422337883257683</v>
      </c>
      <c r="J239" s="561">
        <v>72.299645891359404</v>
      </c>
      <c r="K239" s="562"/>
      <c r="L239" s="562"/>
      <c r="M239" s="562"/>
      <c r="N239" s="562"/>
      <c r="O239" s="562"/>
    </row>
    <row r="240" spans="1:15" s="488" customFormat="1" ht="12.75" x14ac:dyDescent="0.2">
      <c r="A240" s="507">
        <v>44743</v>
      </c>
      <c r="B240" s="572" t="s">
        <v>825</v>
      </c>
      <c r="C240" s="560">
        <v>36080</v>
      </c>
      <c r="D240" s="573">
        <v>43909.36</v>
      </c>
      <c r="E240" s="573">
        <v>36779.950000000004</v>
      </c>
      <c r="F240" s="573">
        <v>268.54000000000002</v>
      </c>
      <c r="G240" s="573">
        <v>453.05</v>
      </c>
      <c r="H240" s="574">
        <v>47755.488000000005</v>
      </c>
      <c r="I240" s="576">
        <v>47.119015559092539</v>
      </c>
      <c r="J240" s="561">
        <v>76.333991688084808</v>
      </c>
      <c r="K240" s="562"/>
      <c r="L240" s="562"/>
      <c r="M240" s="562"/>
      <c r="N240" s="562"/>
      <c r="O240" s="562"/>
    </row>
    <row r="241" spans="1:15" s="488" customFormat="1" ht="12.75" x14ac:dyDescent="0.2">
      <c r="A241" s="507">
        <v>44774</v>
      </c>
      <c r="B241" s="572" t="s">
        <v>825</v>
      </c>
      <c r="C241" s="560">
        <v>36114.800000000003</v>
      </c>
      <c r="D241" s="573">
        <v>42131.53</v>
      </c>
      <c r="E241" s="573">
        <v>36197.86</v>
      </c>
      <c r="F241" s="573">
        <v>260.67</v>
      </c>
      <c r="G241" s="573">
        <v>454.13</v>
      </c>
      <c r="H241" s="574">
        <v>46997.633832</v>
      </c>
      <c r="I241" s="576">
        <v>47.267254620307611</v>
      </c>
      <c r="J241" s="561">
        <v>78.216453270446692</v>
      </c>
      <c r="K241" s="562"/>
      <c r="L241" s="562"/>
      <c r="M241" s="562"/>
      <c r="N241" s="562"/>
      <c r="O241" s="562"/>
    </row>
    <row r="242" spans="1:15" s="488" customFormat="1" ht="12.75" x14ac:dyDescent="0.2">
      <c r="A242" s="507">
        <v>44805</v>
      </c>
      <c r="B242" s="572" t="s">
        <v>825</v>
      </c>
      <c r="C242" s="560">
        <v>36290</v>
      </c>
      <c r="D242" s="573">
        <v>40227.47</v>
      </c>
      <c r="E242" s="573">
        <v>35578.720000000001</v>
      </c>
      <c r="F242" s="573">
        <v>250.76999999999998</v>
      </c>
      <c r="G242" s="573">
        <v>445.28999999999996</v>
      </c>
      <c r="H242" s="574">
        <v>46446.845199999996</v>
      </c>
      <c r="I242" s="576">
        <v>48.095715112964719</v>
      </c>
      <c r="J242" s="561">
        <v>82.173786208424929</v>
      </c>
      <c r="K242" s="562"/>
      <c r="L242" s="562"/>
      <c r="M242" s="562"/>
      <c r="N242" s="562"/>
      <c r="O242" s="562"/>
    </row>
    <row r="243" spans="1:15" s="488" customFormat="1" ht="12.75" x14ac:dyDescent="0.2">
      <c r="A243" s="507">
        <v>44835</v>
      </c>
      <c r="B243" s="572" t="s">
        <v>825</v>
      </c>
      <c r="C243" s="560">
        <v>36330</v>
      </c>
      <c r="D243" s="573">
        <v>42102.84</v>
      </c>
      <c r="E243" s="573">
        <v>36141.08</v>
      </c>
      <c r="F243" s="573">
        <v>245.23000000000002</v>
      </c>
      <c r="G243" s="573">
        <v>441.6</v>
      </c>
      <c r="H243" s="574">
        <v>46621.9257</v>
      </c>
      <c r="I243" s="576">
        <v>48.694855518876444</v>
      </c>
      <c r="J243" s="561">
        <v>82.218159097245277</v>
      </c>
      <c r="K243" s="562"/>
      <c r="L243" s="562"/>
      <c r="M243" s="562"/>
      <c r="N243" s="562"/>
      <c r="O243" s="562"/>
    </row>
    <row r="244" spans="1:15" s="488" customFormat="1" ht="12.75" x14ac:dyDescent="0.2">
      <c r="A244" s="507">
        <v>44866</v>
      </c>
      <c r="B244" s="572" t="s">
        <v>825</v>
      </c>
      <c r="C244" s="560">
        <v>36318.75</v>
      </c>
      <c r="D244" s="573">
        <v>43484.44</v>
      </c>
      <c r="E244" s="573">
        <v>37560.85</v>
      </c>
      <c r="F244" s="573">
        <v>261.83999999999997</v>
      </c>
      <c r="G244" s="573">
        <v>444.94</v>
      </c>
      <c r="H244" s="574">
        <v>47753.345249999998</v>
      </c>
      <c r="I244" s="576">
        <v>47.986973746638725</v>
      </c>
      <c r="J244" s="561">
        <v>80.614774586692207</v>
      </c>
      <c r="K244" s="562"/>
      <c r="L244" s="562"/>
      <c r="M244" s="562"/>
      <c r="N244" s="562"/>
      <c r="O244" s="562"/>
    </row>
    <row r="245" spans="1:15" s="488" customFormat="1" ht="12.75" x14ac:dyDescent="0.2">
      <c r="A245" s="507">
        <v>44896</v>
      </c>
      <c r="B245" s="572" t="s">
        <v>825</v>
      </c>
      <c r="C245" s="560">
        <v>36311</v>
      </c>
      <c r="D245" s="573">
        <v>43734.78</v>
      </c>
      <c r="E245" s="573">
        <v>38693</v>
      </c>
      <c r="F245" s="573">
        <v>273.85000000000002</v>
      </c>
      <c r="G245" s="573">
        <v>438.61</v>
      </c>
      <c r="H245" s="574">
        <v>48324.131240000002</v>
      </c>
      <c r="I245" s="576">
        <v>47.258520156357164</v>
      </c>
      <c r="J245" s="577">
        <v>79.631955484050437</v>
      </c>
      <c r="K245" s="562"/>
      <c r="L245" s="562"/>
      <c r="M245" s="562"/>
      <c r="N245" s="562"/>
      <c r="O245" s="562"/>
    </row>
    <row r="246" spans="1:15" s="488" customFormat="1" ht="12.75" x14ac:dyDescent="0.2">
      <c r="A246" s="508">
        <v>44927</v>
      </c>
      <c r="B246" s="578" t="s">
        <v>825</v>
      </c>
      <c r="C246" s="571">
        <v>36214</v>
      </c>
      <c r="D246" s="571">
        <v>44758.69</v>
      </c>
      <c r="E246" s="571">
        <v>39303.050000000003</v>
      </c>
      <c r="F246" s="558">
        <v>278.37</v>
      </c>
      <c r="G246" s="558">
        <v>443.93</v>
      </c>
      <c r="H246" s="571">
        <v>48833.492579999998</v>
      </c>
      <c r="I246" s="563">
        <v>46.821885223873764</v>
      </c>
      <c r="J246" s="558">
        <v>79.510805661226669</v>
      </c>
      <c r="K246" s="562"/>
      <c r="L246" s="562"/>
      <c r="M246" s="562"/>
      <c r="N246" s="562"/>
      <c r="O246" s="562"/>
    </row>
    <row r="247" spans="1:15" s="488" customFormat="1" ht="12.75" x14ac:dyDescent="0.2">
      <c r="A247" s="508">
        <v>44958</v>
      </c>
      <c r="B247" s="578" t="s">
        <v>825</v>
      </c>
      <c r="C247" s="579">
        <v>36163.18</v>
      </c>
      <c r="D247" s="579">
        <v>43598.33</v>
      </c>
      <c r="E247" s="579">
        <v>38307.659999999996</v>
      </c>
      <c r="F247" s="580">
        <v>265.49</v>
      </c>
      <c r="G247" s="580">
        <v>437.41</v>
      </c>
      <c r="H247" s="568">
        <v>48053.271952199997</v>
      </c>
      <c r="I247" s="569">
        <v>47.335963020321564</v>
      </c>
      <c r="J247" s="558">
        <v>62.096543511555225</v>
      </c>
      <c r="K247" s="562"/>
      <c r="L247" s="562"/>
      <c r="M247" s="562"/>
      <c r="N247" s="562"/>
      <c r="O247" s="562"/>
    </row>
    <row r="248" spans="1:15" s="488" customFormat="1" ht="12.75" x14ac:dyDescent="0.2">
      <c r="A248" s="508">
        <v>44986</v>
      </c>
      <c r="B248" s="578" t="s">
        <v>825</v>
      </c>
      <c r="C248" s="571">
        <v>32728.570000000003</v>
      </c>
      <c r="D248" s="571">
        <v>40596.519999999997</v>
      </c>
      <c r="E248" s="571">
        <v>35710.14</v>
      </c>
      <c r="F248" s="558">
        <v>246.20000000000002</v>
      </c>
      <c r="G248" s="558">
        <v>398.76</v>
      </c>
      <c r="H248" s="571">
        <v>44027.454221100001</v>
      </c>
      <c r="I248" s="563">
        <v>52.472882416887899</v>
      </c>
      <c r="J248" s="558">
        <v>70.657437662788737</v>
      </c>
      <c r="K248" s="562"/>
      <c r="L248" s="562"/>
      <c r="M248" s="562"/>
      <c r="N248" s="562"/>
      <c r="O248" s="562"/>
    </row>
    <row r="249" spans="1:15" s="488" customFormat="1" ht="12.75" x14ac:dyDescent="0.2">
      <c r="A249" s="508">
        <v>45017</v>
      </c>
      <c r="B249" s="578" t="s">
        <v>825</v>
      </c>
      <c r="C249" s="571">
        <v>32164.999999999996</v>
      </c>
      <c r="D249" s="571">
        <v>40180.520000000004</v>
      </c>
      <c r="E249" s="571">
        <v>35452.26</v>
      </c>
      <c r="F249" s="558">
        <v>239.82999999999998</v>
      </c>
      <c r="G249" s="558">
        <v>393.59000000000003</v>
      </c>
      <c r="H249" s="571">
        <v>43326.576649999995</v>
      </c>
      <c r="I249" s="563">
        <v>53.376454680660565</v>
      </c>
      <c r="J249" s="558">
        <v>70.444467506529449</v>
      </c>
      <c r="K249" s="562"/>
      <c r="L249" s="562"/>
      <c r="M249" s="562"/>
      <c r="N249" s="562"/>
      <c r="O249" s="562"/>
    </row>
    <row r="250" spans="1:15" s="488" customFormat="1" ht="12.75" x14ac:dyDescent="0.2">
      <c r="A250" s="508">
        <v>45047</v>
      </c>
      <c r="B250" s="578" t="s">
        <v>825</v>
      </c>
      <c r="C250" s="571">
        <v>29552.11</v>
      </c>
      <c r="D250" s="571">
        <v>36619.5</v>
      </c>
      <c r="E250" s="571">
        <v>31642.92</v>
      </c>
      <c r="F250" s="558">
        <v>211.34</v>
      </c>
      <c r="G250" s="558">
        <v>357.19</v>
      </c>
      <c r="H250" s="571">
        <v>39229.243940600005</v>
      </c>
      <c r="I250" s="563">
        <v>55.787385154045076</v>
      </c>
      <c r="J250" s="558">
        <v>73.469678402045773</v>
      </c>
      <c r="K250" s="562"/>
      <c r="L250" s="562"/>
      <c r="M250" s="562"/>
      <c r="N250" s="562"/>
      <c r="O250" s="562"/>
    </row>
    <row r="251" spans="1:15" s="488" customFormat="1" ht="12.75" x14ac:dyDescent="0.2">
      <c r="A251" s="508">
        <v>45078</v>
      </c>
      <c r="B251" s="578" t="s">
        <v>825</v>
      </c>
      <c r="C251" s="571">
        <v>30883</v>
      </c>
      <c r="D251" s="571">
        <v>39303.25</v>
      </c>
      <c r="E251" s="571">
        <v>33798.36</v>
      </c>
      <c r="F251" s="558">
        <v>214.48999999999998</v>
      </c>
      <c r="G251" s="558">
        <v>376.5</v>
      </c>
      <c r="H251" s="571">
        <v>41230.966809999998</v>
      </c>
      <c r="I251" s="563">
        <v>57.508667742566821</v>
      </c>
      <c r="J251" s="558">
        <v>75.447115564326481</v>
      </c>
      <c r="K251" s="562"/>
      <c r="L251" s="562"/>
      <c r="M251" s="562"/>
      <c r="N251" s="562"/>
      <c r="O251" s="562"/>
    </row>
    <row r="252" spans="1:15" s="488" customFormat="1" ht="12.75" x14ac:dyDescent="0.2">
      <c r="A252" s="508">
        <v>45108</v>
      </c>
      <c r="B252" s="578" t="s">
        <v>825</v>
      </c>
      <c r="C252" s="571">
        <v>32935.660000000003</v>
      </c>
      <c r="D252" s="571">
        <v>42319.03</v>
      </c>
      <c r="E252" s="571">
        <v>36265.46</v>
      </c>
      <c r="F252" s="558">
        <v>232.72</v>
      </c>
      <c r="G252" s="558">
        <v>400.42</v>
      </c>
      <c r="H252" s="571">
        <v>44230.615240400002</v>
      </c>
      <c r="I252" s="563">
        <v>54.198195589264856</v>
      </c>
      <c r="J252" s="558">
        <v>69.746007745263114</v>
      </c>
      <c r="K252" s="562"/>
      <c r="L252" s="562"/>
      <c r="M252" s="562"/>
      <c r="N252" s="562"/>
      <c r="O252" s="562"/>
    </row>
    <row r="253" spans="1:15" s="488" customFormat="1" ht="12.75" x14ac:dyDescent="0.2">
      <c r="A253" s="508">
        <v>45139</v>
      </c>
      <c r="B253" s="578" t="s">
        <v>825</v>
      </c>
      <c r="C253" s="571">
        <v>32266.340000000004</v>
      </c>
      <c r="D253" s="571">
        <v>41055.689999999995</v>
      </c>
      <c r="E253" s="571">
        <v>35254.199999999997</v>
      </c>
      <c r="F253" s="558">
        <v>221.19</v>
      </c>
      <c r="G253" s="558">
        <v>390.39</v>
      </c>
      <c r="H253" s="571">
        <v>42912.296219600001</v>
      </c>
      <c r="I253" s="563">
        <v>54.64079990144046</v>
      </c>
      <c r="J253" s="558">
        <v>69.931414831054113</v>
      </c>
      <c r="K253" s="562"/>
      <c r="L253" s="562"/>
      <c r="M253" s="562"/>
      <c r="N253" s="562"/>
      <c r="O253" s="562"/>
    </row>
    <row r="254" spans="1:15" s="488" customFormat="1" ht="12.75" x14ac:dyDescent="0.2">
      <c r="A254" s="508">
        <v>45170</v>
      </c>
      <c r="B254" s="578" t="s">
        <v>825</v>
      </c>
      <c r="C254" s="571">
        <v>32444.78</v>
      </c>
      <c r="D254" s="571">
        <v>39400.94</v>
      </c>
      <c r="E254" s="571">
        <v>34264.93</v>
      </c>
      <c r="F254" s="558">
        <v>217.74</v>
      </c>
      <c r="G254" s="558">
        <v>389.65999999999997</v>
      </c>
      <c r="H254" s="571">
        <v>42542.893327199992</v>
      </c>
      <c r="I254" s="563">
        <v>54.819201328657854</v>
      </c>
      <c r="J254" s="558">
        <v>70.69976585878436</v>
      </c>
      <c r="K254" s="562"/>
      <c r="L254" s="562"/>
      <c r="M254" s="562"/>
      <c r="N254" s="562"/>
      <c r="O254" s="562"/>
    </row>
    <row r="255" spans="1:15" s="488" customFormat="1" ht="12.75" x14ac:dyDescent="0.2">
      <c r="A255" s="508">
        <v>45200</v>
      </c>
      <c r="B255" s="578" t="s">
        <v>825</v>
      </c>
      <c r="C255" s="571">
        <v>32738.170000000002</v>
      </c>
      <c r="D255" s="571">
        <v>39776.879999999997</v>
      </c>
      <c r="E255" s="571">
        <v>34712.28</v>
      </c>
      <c r="F255" s="558">
        <v>218.96</v>
      </c>
      <c r="G255" s="558">
        <v>393.24</v>
      </c>
      <c r="H255" s="571">
        <v>43022.538723800004</v>
      </c>
      <c r="I255" s="563">
        <v>54.838833898271929</v>
      </c>
      <c r="J255" s="558">
        <v>70.38604673403411</v>
      </c>
      <c r="K255" s="562"/>
      <c r="L255" s="562"/>
      <c r="M255" s="562"/>
      <c r="N255" s="562"/>
      <c r="O255" s="562"/>
    </row>
    <row r="256" spans="1:15" s="488" customFormat="1" ht="12.75" x14ac:dyDescent="0.2">
      <c r="A256" s="508">
        <v>45231</v>
      </c>
      <c r="B256" s="578" t="s">
        <v>825</v>
      </c>
      <c r="C256" s="571">
        <v>32904.230000000003</v>
      </c>
      <c r="D256" s="571">
        <v>41781.79</v>
      </c>
      <c r="E256" s="571">
        <v>36109.1</v>
      </c>
      <c r="F256" s="558">
        <v>223.70000000000002</v>
      </c>
      <c r="G256" s="558">
        <v>394.79</v>
      </c>
      <c r="H256" s="571">
        <v>43870.880816700002</v>
      </c>
      <c r="I256" s="563">
        <v>53.818519394448991</v>
      </c>
      <c r="J256" s="558">
        <v>69.895947358337096</v>
      </c>
      <c r="K256" s="562"/>
      <c r="L256" s="562"/>
      <c r="M256" s="562"/>
      <c r="N256" s="562"/>
      <c r="O256" s="562"/>
    </row>
    <row r="257" spans="1:22" s="488" customFormat="1" ht="12.75" x14ac:dyDescent="0.2">
      <c r="A257" s="508">
        <v>45261</v>
      </c>
      <c r="B257" s="578" t="s">
        <v>825</v>
      </c>
      <c r="C257" s="571">
        <v>32392.329999999998</v>
      </c>
      <c r="D257" s="571">
        <v>41261.35</v>
      </c>
      <c r="E257" s="571">
        <v>35874.509999999995</v>
      </c>
      <c r="F257" s="558">
        <v>229.11</v>
      </c>
      <c r="G257" s="558">
        <v>389.64</v>
      </c>
      <c r="H257" s="571">
        <v>43459.817391099998</v>
      </c>
      <c r="I257" s="563">
        <v>53.64770548120088</v>
      </c>
      <c r="J257" s="558">
        <v>70.233102742743085</v>
      </c>
      <c r="K257" s="562"/>
      <c r="L257" s="562"/>
      <c r="M257" s="562"/>
      <c r="N257" s="562"/>
      <c r="O257" s="562"/>
      <c r="P257" s="562"/>
      <c r="Q257" s="562"/>
      <c r="R257" s="562"/>
      <c r="S257" s="562"/>
      <c r="T257" s="562"/>
      <c r="U257" s="562"/>
      <c r="V257" s="562"/>
    </row>
    <row r="258" spans="1:22" s="488" customFormat="1" ht="12.75" x14ac:dyDescent="0.2">
      <c r="A258" s="507">
        <v>45292</v>
      </c>
      <c r="B258" s="572" t="s">
        <v>825</v>
      </c>
      <c r="C258" s="560">
        <v>31740.890000000003</v>
      </c>
      <c r="D258" s="573">
        <v>40231.58</v>
      </c>
      <c r="E258" s="573">
        <v>34343.64</v>
      </c>
      <c r="F258" s="573">
        <v>214.96</v>
      </c>
      <c r="G258" s="573">
        <v>381.84</v>
      </c>
      <c r="H258" s="574">
        <v>42211.574793200001</v>
      </c>
      <c r="I258" s="575">
        <v>54.651157656395874</v>
      </c>
      <c r="J258" s="561">
        <v>73.374798512785588</v>
      </c>
      <c r="K258" s="562"/>
      <c r="L258" s="562"/>
      <c r="M258" s="562"/>
      <c r="N258" s="562"/>
      <c r="O258" s="562"/>
      <c r="P258" s="562"/>
      <c r="Q258" s="562"/>
      <c r="R258" s="562"/>
      <c r="S258" s="562"/>
      <c r="T258" s="562"/>
      <c r="U258" s="562"/>
      <c r="V258" s="562"/>
    </row>
    <row r="259" spans="1:22" s="488" customFormat="1" ht="12.75" x14ac:dyDescent="0.2">
      <c r="A259" s="507">
        <v>45323</v>
      </c>
      <c r="B259" s="572" t="s">
        <v>825</v>
      </c>
      <c r="C259" s="560">
        <v>31015.320000000003</v>
      </c>
      <c r="D259" s="573">
        <v>39282.449999999997</v>
      </c>
      <c r="E259" s="573">
        <v>33603.550000000003</v>
      </c>
      <c r="F259" s="573">
        <v>206.87000000000003</v>
      </c>
      <c r="G259" s="573">
        <v>374.11</v>
      </c>
      <c r="H259" s="574">
        <v>41174.698219200007</v>
      </c>
      <c r="I259" s="576">
        <v>56.47992694143057</v>
      </c>
      <c r="J259" s="561">
        <v>75.355422999310747</v>
      </c>
      <c r="K259" s="562"/>
      <c r="L259" s="562"/>
      <c r="M259" s="562"/>
      <c r="N259" s="562"/>
      <c r="O259" s="562"/>
      <c r="P259" s="562"/>
      <c r="Q259" s="562"/>
      <c r="R259" s="562"/>
      <c r="S259" s="562"/>
      <c r="T259" s="562"/>
      <c r="U259" s="562"/>
      <c r="V259" s="562"/>
    </row>
    <row r="260" spans="1:22" s="488" customFormat="1" ht="12.75" x14ac:dyDescent="0.2">
      <c r="A260" s="507">
        <v>45352</v>
      </c>
      <c r="B260" s="572" t="s">
        <v>825</v>
      </c>
      <c r="C260" s="560">
        <v>30118.37</v>
      </c>
      <c r="D260" s="573">
        <v>38051.549999999996</v>
      </c>
      <c r="E260" s="573">
        <v>32603.140000000003</v>
      </c>
      <c r="F260" s="573">
        <v>199.08999999999997</v>
      </c>
      <c r="G260" s="573">
        <v>361.46</v>
      </c>
      <c r="H260" s="574">
        <v>39859.554409100005</v>
      </c>
      <c r="I260" s="576">
        <v>57.746469811841081</v>
      </c>
      <c r="J260" s="561">
        <v>75.388913227303334</v>
      </c>
      <c r="K260" s="562"/>
      <c r="L260" s="562"/>
      <c r="M260" s="562"/>
      <c r="N260" s="562"/>
      <c r="O260" s="562"/>
      <c r="P260" s="562"/>
      <c r="Q260" s="562"/>
      <c r="R260" s="562"/>
      <c r="S260" s="562"/>
      <c r="T260" s="562"/>
      <c r="U260" s="562"/>
      <c r="V260" s="562"/>
    </row>
    <row r="261" spans="1:22" s="488" customFormat="1" ht="12.75" x14ac:dyDescent="0.2">
      <c r="A261" s="507">
        <v>45383</v>
      </c>
      <c r="B261" s="572" t="s">
        <v>825</v>
      </c>
      <c r="C261" s="560">
        <v>29685.610000000004</v>
      </c>
      <c r="D261" s="573">
        <v>37243.57</v>
      </c>
      <c r="E261" s="573">
        <v>31773.989999999998</v>
      </c>
      <c r="F261" s="573">
        <v>189.34</v>
      </c>
      <c r="G261" s="573">
        <v>355.73</v>
      </c>
      <c r="H261" s="574">
        <v>39123.555987300002</v>
      </c>
      <c r="I261" s="576">
        <v>59.379312808688077</v>
      </c>
      <c r="J261" s="561">
        <v>76.597419381315817</v>
      </c>
      <c r="K261" s="562"/>
      <c r="L261" s="562"/>
      <c r="M261" s="562"/>
      <c r="N261" s="562"/>
      <c r="O261" s="562"/>
      <c r="P261" s="562"/>
      <c r="Q261" s="562"/>
      <c r="R261" s="562"/>
      <c r="S261" s="562"/>
      <c r="T261" s="562"/>
      <c r="U261" s="562"/>
      <c r="V261" s="562"/>
    </row>
    <row r="262" spans="1:22" s="488" customFormat="1" ht="12.75" x14ac:dyDescent="0.2">
      <c r="A262" s="507">
        <v>45413</v>
      </c>
      <c r="B262" s="572" t="s">
        <v>825</v>
      </c>
      <c r="C262" s="560">
        <v>30188.83</v>
      </c>
      <c r="D262" s="573">
        <v>38407.74</v>
      </c>
      <c r="E262" s="573">
        <v>32664.31</v>
      </c>
      <c r="F262" s="573">
        <v>192.71</v>
      </c>
      <c r="G262" s="573">
        <v>362.45</v>
      </c>
      <c r="H262" s="574">
        <v>39956.124058199995</v>
      </c>
      <c r="I262" s="576">
        <v>59.148321748724641</v>
      </c>
      <c r="J262" s="561">
        <v>75.727020174455873</v>
      </c>
      <c r="K262" s="562"/>
      <c r="L262" s="562"/>
      <c r="M262" s="562"/>
      <c r="N262" s="562"/>
      <c r="O262" s="562"/>
      <c r="P262" s="562"/>
      <c r="Q262" s="562"/>
      <c r="R262" s="562"/>
      <c r="S262" s="562"/>
      <c r="T262" s="562"/>
      <c r="U262" s="562"/>
      <c r="V262" s="562"/>
    </row>
    <row r="263" spans="1:22" s="488" customFormat="1" ht="12.75" x14ac:dyDescent="0.2">
      <c r="A263" s="507">
        <v>45444</v>
      </c>
      <c r="B263" s="572" t="s">
        <v>825</v>
      </c>
      <c r="C263" s="560">
        <v>30570.65</v>
      </c>
      <c r="D263" s="573">
        <v>38622.959999999999</v>
      </c>
      <c r="E263" s="573">
        <v>32693.78</v>
      </c>
      <c r="F263" s="573">
        <v>189.87</v>
      </c>
      <c r="G263" s="573">
        <v>366.35</v>
      </c>
      <c r="H263" s="574">
        <v>40210.798770999994</v>
      </c>
      <c r="I263" s="576">
        <v>58.407408673078663</v>
      </c>
      <c r="J263" s="561">
        <v>75.145147806435673</v>
      </c>
      <c r="K263" s="562"/>
      <c r="L263" s="562"/>
      <c r="M263" s="562"/>
      <c r="N263" s="562"/>
      <c r="O263" s="562"/>
      <c r="P263" s="562"/>
      <c r="Q263" s="562"/>
      <c r="R263" s="562"/>
      <c r="S263" s="562"/>
      <c r="T263" s="562"/>
      <c r="U263" s="562"/>
      <c r="V263" s="562"/>
    </row>
    <row r="264" spans="1:22" s="488" customFormat="1" ht="12.75" x14ac:dyDescent="0.2">
      <c r="A264" s="507">
        <v>45474</v>
      </c>
      <c r="B264" s="572" t="s">
        <v>825</v>
      </c>
      <c r="C264" s="560">
        <v>30237.06</v>
      </c>
      <c r="D264" s="573">
        <v>38842.53</v>
      </c>
      <c r="E264" s="573">
        <v>32733.13</v>
      </c>
      <c r="F264" s="573">
        <v>197.87</v>
      </c>
      <c r="G264" s="573">
        <v>361.13</v>
      </c>
      <c r="H264" s="574">
        <v>40167.515245200004</v>
      </c>
      <c r="I264" s="576">
        <v>58.41342607527784</v>
      </c>
      <c r="J264" s="561">
        <v>74.366476414262422</v>
      </c>
      <c r="K264" s="562"/>
      <c r="L264" s="562"/>
      <c r="M264" s="562"/>
      <c r="N264" s="562"/>
      <c r="O264" s="562"/>
      <c r="P264" s="562"/>
      <c r="Q264" s="562"/>
      <c r="R264" s="562"/>
      <c r="S264" s="562"/>
      <c r="T264" s="562"/>
      <c r="U264" s="562"/>
      <c r="V264" s="562"/>
    </row>
    <row r="265" spans="1:22" s="488" customFormat="1" ht="12.75" x14ac:dyDescent="0.2">
      <c r="A265" s="507">
        <v>45505</v>
      </c>
      <c r="B265" s="572" t="s">
        <v>825</v>
      </c>
      <c r="C265" s="560">
        <v>30032.760000000002</v>
      </c>
      <c r="D265" s="573">
        <v>39533.620000000003</v>
      </c>
      <c r="E265" s="573">
        <v>33250.769999999997</v>
      </c>
      <c r="F265" s="573">
        <v>207.42</v>
      </c>
      <c r="G265" s="573">
        <v>358.07000000000005</v>
      </c>
      <c r="H265" s="574">
        <v>40442.414943600008</v>
      </c>
      <c r="I265" s="576">
        <v>58.388665918540063</v>
      </c>
      <c r="J265" s="561">
        <v>72.786331961016799</v>
      </c>
      <c r="K265" s="562"/>
      <c r="L265" s="562"/>
      <c r="M265" s="562"/>
      <c r="N265" s="562"/>
      <c r="O265" s="562"/>
      <c r="P265" s="562"/>
      <c r="Q265" s="562"/>
      <c r="R265" s="562"/>
      <c r="S265" s="562"/>
      <c r="T265" s="562"/>
      <c r="U265" s="562"/>
      <c r="V265" s="562"/>
    </row>
    <row r="266" spans="1:22" s="488" customFormat="1" ht="12.75" x14ac:dyDescent="0.2">
      <c r="A266" s="507">
        <v>45536</v>
      </c>
      <c r="B266" s="572" t="s">
        <v>825</v>
      </c>
      <c r="C266" s="560">
        <v>29935.649999999998</v>
      </c>
      <c r="D266" s="573">
        <v>40046.42</v>
      </c>
      <c r="E266" s="573">
        <v>33400.699999999997</v>
      </c>
      <c r="F266" s="573">
        <v>210.23000000000002</v>
      </c>
      <c r="G266" s="573">
        <v>357.59</v>
      </c>
      <c r="H266" s="574">
        <v>40603.817590500003</v>
      </c>
      <c r="I266" s="576">
        <v>57.849067697143127</v>
      </c>
      <c r="J266" s="561">
        <v>71.954365448344774</v>
      </c>
      <c r="K266" s="562"/>
      <c r="L266" s="562"/>
      <c r="M266" s="562"/>
      <c r="N266" s="562"/>
      <c r="O266" s="562"/>
      <c r="P266" s="562"/>
      <c r="Q266" s="562"/>
      <c r="R266" s="562"/>
      <c r="S266" s="562"/>
      <c r="T266" s="562"/>
      <c r="U266" s="562"/>
      <c r="V266" s="562"/>
    </row>
    <row r="267" spans="1:22" s="488" customFormat="1" ht="12.75" x14ac:dyDescent="0.2">
      <c r="A267" s="507">
        <v>45566</v>
      </c>
      <c r="B267" s="572" t="s">
        <v>825</v>
      </c>
      <c r="C267" s="560">
        <v>29371.850000000002</v>
      </c>
      <c r="D267" s="573">
        <v>38208.370000000003</v>
      </c>
      <c r="E267" s="573">
        <v>31775.940000000002</v>
      </c>
      <c r="F267" s="573">
        <v>191.42999999999998</v>
      </c>
      <c r="G267" s="573">
        <v>349.37</v>
      </c>
      <c r="H267" s="574">
        <v>39053.399196999999</v>
      </c>
      <c r="I267" s="576">
        <v>59.763591537881531</v>
      </c>
      <c r="J267" s="561">
        <v>73.617497418968398</v>
      </c>
      <c r="K267" s="562"/>
      <c r="L267" s="562"/>
      <c r="M267" s="562"/>
      <c r="N267" s="562"/>
      <c r="O267" s="562"/>
      <c r="P267" s="562"/>
      <c r="Q267" s="562"/>
      <c r="R267" s="562"/>
      <c r="S267" s="562"/>
      <c r="T267" s="562"/>
      <c r="U267" s="562"/>
      <c r="V267" s="562"/>
    </row>
    <row r="268" spans="1:22" s="488" customFormat="1" ht="12.75" x14ac:dyDescent="0.2">
      <c r="A268" s="507">
        <v>45597</v>
      </c>
      <c r="B268" s="572" t="s">
        <v>825</v>
      </c>
      <c r="C268" s="560">
        <v>29091.789999999997</v>
      </c>
      <c r="D268" s="573">
        <v>36965.480000000003</v>
      </c>
      <c r="E268" s="573">
        <v>30751.48</v>
      </c>
      <c r="F268" s="573">
        <v>193.44</v>
      </c>
      <c r="G268" s="573">
        <v>344.31</v>
      </c>
      <c r="H268" s="574">
        <v>38223.993798899995</v>
      </c>
      <c r="I268" s="576">
        <v>60.972215253890838</v>
      </c>
      <c r="J268" s="561">
        <v>74.936059260350021</v>
      </c>
      <c r="K268" s="562"/>
      <c r="L268" s="562"/>
      <c r="M268" s="562"/>
      <c r="N268" s="562"/>
      <c r="O268" s="562"/>
      <c r="P268" s="562"/>
      <c r="Q268" s="562"/>
      <c r="R268" s="562"/>
      <c r="S268" s="562"/>
      <c r="T268" s="562"/>
      <c r="U268" s="562"/>
      <c r="V268" s="562"/>
    </row>
    <row r="269" spans="1:22" s="488" customFormat="1" ht="12.75" x14ac:dyDescent="0.2">
      <c r="A269" s="507">
        <v>45627</v>
      </c>
      <c r="B269" s="572" t="s">
        <v>825</v>
      </c>
      <c r="C269" s="560">
        <v>29258.33</v>
      </c>
      <c r="D269" s="573">
        <v>36738.22</v>
      </c>
      <c r="E269" s="573">
        <v>30456.46</v>
      </c>
      <c r="F269" s="573">
        <v>187.02</v>
      </c>
      <c r="G269" s="573">
        <v>341.96</v>
      </c>
      <c r="H269" s="574">
        <v>38156.6659029</v>
      </c>
      <c r="I269" s="576">
        <v>61.500448853103315</v>
      </c>
      <c r="J269" s="577">
        <v>76.459514636155873</v>
      </c>
      <c r="K269" s="562"/>
      <c r="L269" s="562"/>
      <c r="M269" s="562"/>
      <c r="N269" s="562"/>
      <c r="O269" s="562"/>
      <c r="P269" s="562"/>
      <c r="Q269" s="562"/>
      <c r="R269" s="562"/>
      <c r="S269" s="562"/>
      <c r="T269" s="562"/>
      <c r="U269" s="562"/>
      <c r="V269" s="562"/>
    </row>
    <row r="270" spans="1:22" s="488" customFormat="1" ht="12.75" x14ac:dyDescent="0.2">
      <c r="A270" s="581">
        <v>45658</v>
      </c>
      <c r="B270" s="582" t="s">
        <v>825</v>
      </c>
      <c r="C270" s="571">
        <v>29757.97</v>
      </c>
      <c r="D270" s="571">
        <v>36960.89</v>
      </c>
      <c r="E270" s="571">
        <v>30920.02</v>
      </c>
      <c r="F270" s="558">
        <v>193.20999999999998</v>
      </c>
      <c r="G270" s="558">
        <v>343.45</v>
      </c>
      <c r="H270" s="571">
        <v>38799.334025099997</v>
      </c>
      <c r="I270" s="563">
        <v>61.060471530525362</v>
      </c>
      <c r="J270" s="558">
        <v>76.323893308562489</v>
      </c>
      <c r="K270" s="562"/>
      <c r="L270" s="562"/>
      <c r="M270" s="562"/>
      <c r="N270" s="562"/>
      <c r="O270" s="562"/>
      <c r="P270" s="562"/>
      <c r="Q270" s="562"/>
      <c r="R270" s="562"/>
      <c r="S270" s="562"/>
      <c r="T270" s="562"/>
      <c r="U270" s="562"/>
      <c r="V270" s="562"/>
    </row>
    <row r="271" spans="1:22" s="488" customFormat="1" ht="12.75" x14ac:dyDescent="0.2">
      <c r="A271" s="508">
        <v>45689</v>
      </c>
      <c r="B271" s="578" t="s">
        <v>825</v>
      </c>
      <c r="C271" s="579">
        <v>29549.81</v>
      </c>
      <c r="D271" s="579">
        <v>37207.64</v>
      </c>
      <c r="E271" s="579">
        <v>30702.249999999996</v>
      </c>
      <c r="F271" s="580">
        <v>197.85</v>
      </c>
      <c r="G271" s="580">
        <v>338.39</v>
      </c>
      <c r="H271" s="568">
        <v>38680.701290000005</v>
      </c>
      <c r="I271" s="569">
        <v>60.726258762807028</v>
      </c>
      <c r="J271" s="558">
        <v>75.784711046607327</v>
      </c>
      <c r="K271" s="562"/>
      <c r="L271" s="562"/>
      <c r="M271" s="562"/>
      <c r="N271" s="562"/>
      <c r="O271" s="562"/>
      <c r="P271" s="562"/>
      <c r="Q271" s="562"/>
      <c r="R271" s="562"/>
      <c r="S271" s="562"/>
      <c r="T271" s="562"/>
      <c r="U271" s="562"/>
      <c r="V271" s="562"/>
    </row>
    <row r="272" spans="1:22" s="488" customFormat="1" ht="12.75" x14ac:dyDescent="0.2">
      <c r="A272" s="508">
        <v>45717</v>
      </c>
      <c r="B272" s="578" t="s">
        <v>825</v>
      </c>
      <c r="C272" s="571">
        <v>29634.719999999998</v>
      </c>
      <c r="D272" s="571">
        <v>38378.44</v>
      </c>
      <c r="E272" s="571">
        <v>31986.239999999998</v>
      </c>
      <c r="F272" s="558">
        <v>196.49</v>
      </c>
      <c r="G272" s="558">
        <v>345.88</v>
      </c>
      <c r="H272" s="571">
        <v>39284.970220799994</v>
      </c>
      <c r="I272" s="563">
        <v>60.27937166308697</v>
      </c>
      <c r="J272" s="558">
        <v>74.878353644002985</v>
      </c>
      <c r="K272" s="562"/>
      <c r="L272" s="562"/>
      <c r="M272" s="562"/>
      <c r="N272" s="562"/>
      <c r="O272" s="562"/>
      <c r="P272" s="562"/>
      <c r="Q272" s="562"/>
      <c r="R272" s="562"/>
      <c r="S272" s="562"/>
      <c r="T272" s="562"/>
      <c r="U272" s="562"/>
      <c r="V272" s="562"/>
    </row>
    <row r="273" spans="1:22" s="488" customFormat="1" ht="12.75" x14ac:dyDescent="0.2">
      <c r="A273" s="508">
        <v>45748</v>
      </c>
      <c r="B273" s="578" t="s">
        <v>825</v>
      </c>
      <c r="C273" s="571">
        <v>29962.18</v>
      </c>
      <c r="D273" s="571">
        <v>40129.85</v>
      </c>
      <c r="E273" s="571">
        <v>34062.5</v>
      </c>
      <c r="F273" s="558">
        <v>210.42000000000002</v>
      </c>
      <c r="G273" s="558">
        <v>351.46999999999997</v>
      </c>
      <c r="H273" s="571">
        <v>40632.011919799996</v>
      </c>
      <c r="I273" s="563">
        <v>59.141530963833254</v>
      </c>
      <c r="J273" s="558">
        <v>73.090793702777901</v>
      </c>
      <c r="K273" s="562"/>
      <c r="L273" s="562"/>
      <c r="M273" s="562"/>
      <c r="N273" s="562"/>
      <c r="O273" s="562"/>
      <c r="P273" s="562"/>
      <c r="Q273" s="562"/>
      <c r="R273" s="562"/>
      <c r="S273" s="562"/>
      <c r="T273" s="562"/>
      <c r="U273" s="562"/>
      <c r="V273" s="562"/>
    </row>
    <row r="274" spans="1:22" s="488" customFormat="1" ht="12.75" x14ac:dyDescent="0.2">
      <c r="A274" s="508">
        <v>45778</v>
      </c>
      <c r="B274" s="578" t="s">
        <v>825</v>
      </c>
      <c r="C274" s="571">
        <v>29943.93</v>
      </c>
      <c r="D274" s="571">
        <v>40358.43</v>
      </c>
      <c r="E274" s="571">
        <v>33998.340000000004</v>
      </c>
      <c r="F274" s="558">
        <v>208.11</v>
      </c>
      <c r="G274" s="558">
        <v>350.7</v>
      </c>
      <c r="H274" s="571">
        <v>40625.229270300006</v>
      </c>
      <c r="I274" s="563">
        <v>58.394114334120687</v>
      </c>
      <c r="J274" s="558">
        <v>72.69587165862086</v>
      </c>
      <c r="K274" s="562"/>
      <c r="L274" s="562"/>
      <c r="M274" s="562"/>
      <c r="N274" s="562"/>
      <c r="O274" s="562"/>
      <c r="P274" s="562"/>
      <c r="Q274" s="562"/>
      <c r="R274" s="562"/>
      <c r="S274" s="562"/>
      <c r="T274" s="562"/>
      <c r="U274" s="562"/>
      <c r="V274" s="562"/>
    </row>
    <row r="275" spans="1:22" s="488" customFormat="1" ht="12.75" x14ac:dyDescent="0.2">
      <c r="A275" s="508">
        <v>45809</v>
      </c>
      <c r="B275" s="578" t="s">
        <v>825</v>
      </c>
      <c r="C275" s="571">
        <v>29996.739999999998</v>
      </c>
      <c r="D275" s="571">
        <v>41158.53</v>
      </c>
      <c r="E275" s="571">
        <v>35174.18</v>
      </c>
      <c r="F275" s="558">
        <v>208.1</v>
      </c>
      <c r="G275" s="558">
        <v>350.95</v>
      </c>
      <c r="H275" s="571">
        <v>41215.520760000007</v>
      </c>
      <c r="I275" s="563">
        <v>58.039472260787861</v>
      </c>
      <c r="J275" s="558">
        <v>72.69654223439494</v>
      </c>
      <c r="K275" s="562"/>
      <c r="L275" s="562"/>
      <c r="M275" s="562"/>
      <c r="N275" s="562"/>
      <c r="O275" s="562"/>
      <c r="P275" s="562"/>
      <c r="Q275" s="562"/>
      <c r="R275" s="562"/>
      <c r="S275" s="562"/>
      <c r="T275" s="562"/>
      <c r="U275" s="562"/>
      <c r="V275" s="562"/>
    </row>
    <row r="276" spans="1:22" s="488" customFormat="1" ht="12.75" x14ac:dyDescent="0.2">
      <c r="A276" s="508">
        <v>45839</v>
      </c>
      <c r="B276" s="578"/>
      <c r="C276" s="571">
        <v>30220.79</v>
      </c>
      <c r="D276" s="571">
        <v>40066.720000000001</v>
      </c>
      <c r="E276" s="571">
        <v>34534.81</v>
      </c>
      <c r="F276" s="558">
        <v>202.95000000000002</v>
      </c>
      <c r="G276" s="558">
        <v>344.66999999999996</v>
      </c>
      <c r="H276" s="571">
        <v>40946.450578899996</v>
      </c>
      <c r="I276" s="563">
        <v>57.730383760820523</v>
      </c>
      <c r="J276" s="558">
        <v>71.82549813515719</v>
      </c>
      <c r="K276" s="562"/>
      <c r="L276" s="562"/>
      <c r="M276" s="562"/>
      <c r="N276" s="562"/>
      <c r="O276" s="562"/>
      <c r="P276" s="562"/>
      <c r="Q276" s="562"/>
      <c r="R276" s="562"/>
      <c r="S276" s="562"/>
      <c r="T276" s="562"/>
      <c r="U276" s="562"/>
      <c r="V276" s="562"/>
    </row>
    <row r="277" spans="1:22" s="488" customFormat="1" ht="12.75" x14ac:dyDescent="0.2">
      <c r="A277" s="508">
        <v>45870</v>
      </c>
      <c r="B277" s="578"/>
      <c r="C277" s="571">
        <v>30244.65</v>
      </c>
      <c r="D277" s="571">
        <v>40837.839999999997</v>
      </c>
      <c r="E277" s="571">
        <v>35265.26</v>
      </c>
      <c r="F277" s="558">
        <v>205.89</v>
      </c>
      <c r="G277" s="558">
        <v>345.14</v>
      </c>
      <c r="H277" s="571">
        <v>41394.037776000005</v>
      </c>
      <c r="I277" s="563">
        <v>58.015165593312069</v>
      </c>
      <c r="J277" s="558">
        <v>71.707921456488307</v>
      </c>
      <c r="K277" s="562"/>
      <c r="L277" s="562"/>
      <c r="M277" s="562"/>
      <c r="N277" s="562"/>
      <c r="O277" s="562"/>
      <c r="P277" s="562"/>
      <c r="Q277" s="562"/>
      <c r="R277" s="562"/>
      <c r="S277" s="562"/>
      <c r="T277" s="562"/>
      <c r="U277" s="562"/>
      <c r="V277" s="562"/>
    </row>
    <row r="278" spans="1:22" s="488" customFormat="1" ht="12.75" x14ac:dyDescent="0.2">
      <c r="A278" s="508">
        <v>45901</v>
      </c>
      <c r="B278" s="578"/>
      <c r="C278" s="571">
        <v>30260.969999999998</v>
      </c>
      <c r="D278" s="571">
        <v>40632.92</v>
      </c>
      <c r="E278" s="571">
        <v>35470.400000000001</v>
      </c>
      <c r="F278" s="558">
        <v>203.57</v>
      </c>
      <c r="G278" s="558">
        <v>341.01</v>
      </c>
      <c r="H278" s="571">
        <v>41486.882040899996</v>
      </c>
      <c r="I278" s="563">
        <v>57.820849388165541</v>
      </c>
      <c r="J278" s="558">
        <v>71.995760202559126</v>
      </c>
      <c r="K278" s="562"/>
      <c r="L278" s="562"/>
      <c r="M278" s="562"/>
      <c r="N278" s="562"/>
      <c r="O278" s="562"/>
      <c r="P278" s="562"/>
      <c r="Q278" s="562"/>
      <c r="R278" s="562"/>
      <c r="S278" s="562"/>
      <c r="T278" s="562"/>
      <c r="U278" s="562"/>
      <c r="V278" s="562"/>
    </row>
    <row r="279" spans="1:22" s="488" customFormat="1" ht="12.75" x14ac:dyDescent="0.2">
      <c r="A279" s="508">
        <v>45931</v>
      </c>
      <c r="B279" s="578"/>
      <c r="C279" s="571">
        <v>30442.23</v>
      </c>
      <c r="D279" s="571">
        <v>40049.799999999996</v>
      </c>
      <c r="E279" s="571">
        <v>35233.839999999997</v>
      </c>
      <c r="F279" s="558">
        <v>198</v>
      </c>
      <c r="G279" s="558">
        <v>343.57</v>
      </c>
      <c r="H279" s="571">
        <v>41352.420809700001</v>
      </c>
      <c r="I279" s="563">
        <v>57.87743444950992</v>
      </c>
      <c r="J279" s="558">
        <v>71.907298589215998</v>
      </c>
      <c r="K279" s="562"/>
      <c r="L279" s="562"/>
      <c r="M279" s="562"/>
      <c r="N279" s="562"/>
      <c r="O279" s="562"/>
      <c r="P279" s="562"/>
      <c r="Q279" s="562"/>
      <c r="R279" s="562"/>
      <c r="S279" s="562"/>
      <c r="T279" s="562"/>
      <c r="U279" s="562"/>
      <c r="V279" s="562"/>
    </row>
    <row r="280" spans="1:22" s="488" customFormat="1" ht="12.75" x14ac:dyDescent="0.2">
      <c r="A280" s="508">
        <v>45962</v>
      </c>
      <c r="B280" s="578"/>
      <c r="C280" s="571">
        <v>30802.620000000003</v>
      </c>
      <c r="D280" s="571">
        <v>40768.810000000005</v>
      </c>
      <c r="E280" s="571">
        <v>35681.760000000002</v>
      </c>
      <c r="F280" s="558">
        <v>197.11</v>
      </c>
      <c r="G280" s="558">
        <v>344.58000000000004</v>
      </c>
      <c r="H280" s="571">
        <v>41847.515453400003</v>
      </c>
      <c r="I280" s="563">
        <v>57.522374220836461</v>
      </c>
      <c r="J280" s="558">
        <v>71.305524350706364</v>
      </c>
      <c r="K280" s="562"/>
      <c r="L280" s="562"/>
      <c r="M280" s="562"/>
      <c r="N280" s="562"/>
      <c r="O280" s="562"/>
      <c r="P280" s="562"/>
      <c r="Q280" s="562"/>
      <c r="R280" s="562"/>
      <c r="S280" s="562"/>
      <c r="T280" s="562"/>
      <c r="U280" s="562"/>
      <c r="V280" s="562"/>
    </row>
    <row r="281" spans="1:22" s="488" customFormat="1" ht="12.75" x14ac:dyDescent="0.2">
      <c r="A281" s="508">
        <v>45992</v>
      </c>
      <c r="B281" s="578"/>
      <c r="C281" s="571">
        <v>30999.439999999999</v>
      </c>
      <c r="D281" s="571">
        <v>41731.450000000004</v>
      </c>
      <c r="E281" s="571">
        <v>36396.44</v>
      </c>
      <c r="F281" s="558">
        <v>198.14000000000001</v>
      </c>
      <c r="G281" s="558">
        <v>345.26</v>
      </c>
      <c r="H281" s="571">
        <v>42453.733079999998</v>
      </c>
      <c r="I281" s="563">
        <v>56.781613039439719</v>
      </c>
      <c r="J281" s="558">
        <v>71.188760227162319</v>
      </c>
      <c r="K281" s="562"/>
      <c r="L281" s="562"/>
      <c r="M281" s="562"/>
      <c r="N281" s="562"/>
      <c r="O281" s="562"/>
      <c r="P281" s="562"/>
      <c r="Q281" s="562"/>
      <c r="R281" s="562"/>
      <c r="S281" s="562"/>
      <c r="T281" s="562"/>
      <c r="U281" s="562"/>
      <c r="V281" s="562"/>
    </row>
    <row r="282" spans="1:22" s="488" customFormat="1" ht="12.75" x14ac:dyDescent="0.2">
      <c r="A282" s="507">
        <v>46023</v>
      </c>
      <c r="B282" s="572"/>
      <c r="C282" s="560">
        <v>30949.93</v>
      </c>
      <c r="D282" s="573">
        <v>42546.87</v>
      </c>
      <c r="E282" s="573">
        <v>36858.269999999997</v>
      </c>
      <c r="F282" s="573">
        <v>201.29000000000002</v>
      </c>
      <c r="G282" s="573">
        <v>336.57</v>
      </c>
      <c r="H282" s="574">
        <v>42768.779769100001</v>
      </c>
      <c r="I282" s="576">
        <v>56.618985002284951</v>
      </c>
      <c r="J282" s="561" t="s">
        <v>865</v>
      </c>
      <c r="K282" s="562"/>
      <c r="L282" s="562"/>
      <c r="M282" s="562"/>
      <c r="N282" s="562"/>
      <c r="O282" s="562"/>
      <c r="P282" s="562"/>
      <c r="Q282" s="562"/>
      <c r="R282" s="562"/>
      <c r="S282" s="562"/>
      <c r="T282" s="562"/>
      <c r="U282" s="562"/>
      <c r="V282" s="562"/>
    </row>
    <row r="283" spans="1:22" s="488" customFormat="1" ht="12.75" x14ac:dyDescent="0.2">
      <c r="A283" s="507">
        <v>46054</v>
      </c>
      <c r="B283" s="572"/>
      <c r="C283" s="560">
        <v>30930.91</v>
      </c>
      <c r="D283" s="573">
        <v>41704.15</v>
      </c>
      <c r="E283" s="573">
        <v>36486.1</v>
      </c>
      <c r="F283" s="573">
        <v>198.47</v>
      </c>
      <c r="G283" s="573">
        <v>340.21</v>
      </c>
      <c r="H283" s="574">
        <v>42522.887140700004</v>
      </c>
      <c r="I283" s="576">
        <v>56.370442186630719</v>
      </c>
      <c r="J283" s="561" t="s">
        <v>866</v>
      </c>
      <c r="K283" s="562"/>
      <c r="L283" s="562"/>
      <c r="M283" s="562"/>
      <c r="N283" s="562"/>
      <c r="O283" s="562"/>
      <c r="P283" s="562"/>
      <c r="Q283" s="562"/>
      <c r="R283" s="562"/>
      <c r="S283" s="562"/>
      <c r="T283" s="562"/>
      <c r="U283" s="562"/>
      <c r="V283" s="562"/>
    </row>
    <row r="284" spans="1:22" s="488" customFormat="1" ht="12.75" x14ac:dyDescent="0.2">
      <c r="A284" s="507">
        <v>46082</v>
      </c>
      <c r="B284" s="572"/>
      <c r="C284" s="560">
        <v>31519.09</v>
      </c>
      <c r="D284" s="573">
        <v>41636.720000000001</v>
      </c>
      <c r="E284" s="573">
        <v>36174.46</v>
      </c>
      <c r="F284" s="573">
        <v>197.39</v>
      </c>
      <c r="G284" s="573">
        <v>332.44</v>
      </c>
      <c r="H284" s="574">
        <v>42752.178485099997</v>
      </c>
      <c r="I284" s="576">
        <v>56.541823663358585</v>
      </c>
      <c r="J284" s="561" t="s">
        <v>867</v>
      </c>
      <c r="K284" s="562"/>
      <c r="L284" s="562"/>
      <c r="M284" s="562"/>
      <c r="N284" s="562"/>
      <c r="O284" s="562"/>
      <c r="P284" s="562"/>
      <c r="Q284" s="562"/>
      <c r="R284" s="562"/>
      <c r="S284" s="562"/>
      <c r="T284" s="562"/>
      <c r="U284" s="562"/>
      <c r="V284" s="562"/>
    </row>
    <row r="285" spans="1:22" s="488" customFormat="1" ht="12.75" x14ac:dyDescent="0.2">
      <c r="A285" s="507">
        <v>46113</v>
      </c>
      <c r="B285" s="572"/>
      <c r="C285" s="560">
        <v>31934.92</v>
      </c>
      <c r="D285" s="573">
        <v>43041.89</v>
      </c>
      <c r="E285" s="573">
        <v>37268.050000000003</v>
      </c>
      <c r="F285" s="573">
        <v>199.19</v>
      </c>
      <c r="G285" s="573">
        <v>336.69</v>
      </c>
      <c r="H285" s="574">
        <v>43815.348938399999</v>
      </c>
      <c r="I285" s="576">
        <v>55.592381330114094</v>
      </c>
      <c r="J285" s="561" t="s">
        <v>868</v>
      </c>
      <c r="K285" s="562"/>
      <c r="L285" s="562"/>
      <c r="M285" s="562"/>
      <c r="N285" s="562"/>
      <c r="O285" s="562"/>
      <c r="P285" s="562"/>
      <c r="Q285" s="562"/>
      <c r="R285" s="562"/>
      <c r="S285" s="562"/>
      <c r="T285" s="562"/>
      <c r="U285" s="562"/>
      <c r="V285" s="562"/>
    </row>
    <row r="286" spans="1:22" s="488" customFormat="1" ht="12.75" x14ac:dyDescent="0.2">
      <c r="A286" s="583"/>
      <c r="B286" s="584"/>
      <c r="C286" s="585"/>
      <c r="D286" s="585"/>
      <c r="E286" s="585"/>
      <c r="F286" s="585"/>
      <c r="G286" s="585"/>
      <c r="H286" s="585"/>
      <c r="I286" s="586"/>
      <c r="J286" s="586"/>
      <c r="L286" s="562"/>
      <c r="M286" s="562"/>
      <c r="N286" s="562"/>
      <c r="O286" s="562"/>
      <c r="P286" s="562"/>
      <c r="Q286" s="562"/>
      <c r="R286" s="562"/>
      <c r="S286" s="562"/>
      <c r="T286" s="562"/>
      <c r="U286" s="562"/>
      <c r="V286" s="562"/>
    </row>
    <row r="287" spans="1:22" x14ac:dyDescent="0.25">
      <c r="C287" s="526"/>
      <c r="D287" s="459"/>
      <c r="E287" s="459"/>
      <c r="F287" s="459"/>
      <c r="G287" s="587"/>
      <c r="H287" s="517" t="s">
        <v>827</v>
      </c>
      <c r="I287" s="517"/>
      <c r="J287" s="517"/>
    </row>
    <row r="288" spans="1:22" x14ac:dyDescent="0.25">
      <c r="A288" s="461" t="s">
        <v>869</v>
      </c>
      <c r="G288" s="587"/>
    </row>
    <row r="289" spans="1:14" x14ac:dyDescent="0.25">
      <c r="A289" s="461" t="s">
        <v>870</v>
      </c>
      <c r="G289" s="587"/>
    </row>
    <row r="290" spans="1:14" x14ac:dyDescent="0.25">
      <c r="A290" s="461" t="s">
        <v>871</v>
      </c>
      <c r="G290" s="587"/>
    </row>
    <row r="291" spans="1:14" x14ac:dyDescent="0.25">
      <c r="A291" s="461" t="s">
        <v>872</v>
      </c>
      <c r="G291" s="587"/>
      <c r="M291" s="521"/>
      <c r="N291" s="521"/>
    </row>
    <row r="292" spans="1:14" x14ac:dyDescent="0.25">
      <c r="A292" s="461" t="s">
        <v>873</v>
      </c>
      <c r="G292" s="587"/>
    </row>
    <row r="293" spans="1:14" x14ac:dyDescent="0.25">
      <c r="A293" s="461" t="s">
        <v>874</v>
      </c>
      <c r="G293" s="587"/>
      <c r="H293" s="526"/>
    </row>
    <row r="294" spans="1:14" x14ac:dyDescent="0.25">
      <c r="A294" s="461" t="s">
        <v>875</v>
      </c>
    </row>
    <row r="295" spans="1:14" x14ac:dyDescent="0.25">
      <c r="C295" s="588"/>
      <c r="D295" s="588"/>
      <c r="E295" s="588"/>
      <c r="F295" s="588"/>
      <c r="G295" s="588"/>
      <c r="H295" s="588"/>
    </row>
    <row r="296" spans="1:14" x14ac:dyDescent="0.25">
      <c r="C296" s="588"/>
      <c r="D296" s="588"/>
      <c r="E296" s="588"/>
      <c r="F296" s="588"/>
      <c r="G296" s="588"/>
      <c r="H296" s="588"/>
    </row>
    <row r="297" spans="1:14" x14ac:dyDescent="0.25">
      <c r="C297" s="518"/>
      <c r="D297" s="518"/>
      <c r="E297" s="518"/>
      <c r="F297" s="518"/>
      <c r="G297" s="518"/>
      <c r="H297" s="518"/>
    </row>
    <row r="298" spans="1:14" x14ac:dyDescent="0.25">
      <c r="C298" s="518"/>
      <c r="D298" s="518"/>
      <c r="E298" s="518"/>
      <c r="F298" s="518"/>
      <c r="G298" s="518"/>
      <c r="H298" s="518"/>
    </row>
    <row r="299" spans="1:14" x14ac:dyDescent="0.25">
      <c r="C299" s="518"/>
      <c r="D299" s="518"/>
      <c r="E299" s="518"/>
      <c r="F299" s="518"/>
      <c r="G299" s="518"/>
      <c r="H299" s="518"/>
    </row>
  </sheetData>
  <mergeCells count="6">
    <mergeCell ref="A4:J4"/>
    <mergeCell ref="A6:A8"/>
    <mergeCell ref="B6:B8"/>
    <mergeCell ref="C6:H6"/>
    <mergeCell ref="I6:J6"/>
    <mergeCell ref="H287:J287"/>
  </mergeCells>
  <hyperlinks>
    <hyperlink ref="J2" location="Contents!A1" display="Back to Contents" xr:uid="{4BB0277C-6B40-48A4-B3E3-EE5E5ABAACCC}"/>
  </hyperlinks>
  <pageMargins left="0.7" right="0.7" top="0.75" bottom="0.75" header="0.3" footer="0.3"/>
  <pageSetup paperSize="9" scale="83" orientation="portrait" r:id="rId1"/>
  <headerFooter>
    <oddHeader>&amp;L&amp;"Calibri"&amp;10&amp;KA80000 [Confidential]&amp;1#_x000D_&amp;C&amp;G</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41181-665F-4B48-88E2-E30E8D0EE2C6}">
  <sheetPr>
    <pageSetUpPr fitToPage="1"/>
  </sheetPr>
  <dimension ref="A1:Z329"/>
  <sheetViews>
    <sheetView showGridLines="0" zoomScale="84" zoomScaleNormal="84" zoomScaleSheetLayoutView="100" workbookViewId="0">
      <pane xSplit="2" ySplit="7" topLeftCell="C313" activePane="bottomRight" state="frozen"/>
      <selection activeCell="AA321" sqref="AA321"/>
      <selection pane="topRight" activeCell="AA321" sqref="AA321"/>
      <selection pane="bottomLeft" activeCell="AA321" sqref="AA321"/>
      <selection pane="bottomRight" activeCell="L2" sqref="L2"/>
    </sheetView>
  </sheetViews>
  <sheetFormatPr defaultColWidth="11.28515625" defaultRowHeight="15" x14ac:dyDescent="0.25"/>
  <cols>
    <col min="1" max="1" width="12.140625" style="458" bestFit="1" customWidth="1"/>
    <col min="2" max="2" width="19.7109375" style="458" hidden="1" customWidth="1"/>
    <col min="3" max="6" width="10" style="458" customWidth="1"/>
    <col min="7" max="7" width="11.5703125" style="458" customWidth="1"/>
    <col min="8" max="8" width="10" style="458" customWidth="1"/>
    <col min="9" max="10" width="11.42578125" style="587" bestFit="1" customWidth="1"/>
    <col min="11" max="11" width="10.42578125" style="587" customWidth="1"/>
    <col min="12" max="12" width="12.42578125" style="587" customWidth="1"/>
    <col min="13" max="15" width="11.28515625" style="458"/>
    <col min="16" max="16" width="7.5703125" style="458" customWidth="1"/>
    <col min="17" max="20" width="5.5703125" style="458" bestFit="1" customWidth="1"/>
    <col min="21" max="21" width="8.42578125" style="458" customWidth="1"/>
    <col min="22" max="16384" width="11.28515625" style="458"/>
  </cols>
  <sheetData>
    <row r="1" spans="1:12" ht="15.75" x14ac:dyDescent="0.25">
      <c r="A1" s="273" t="s">
        <v>29</v>
      </c>
      <c r="E1" s="520"/>
      <c r="F1" s="518"/>
      <c r="H1" s="459"/>
      <c r="L1" s="589" t="s">
        <v>876</v>
      </c>
    </row>
    <row r="2" spans="1:12" ht="18.75" x14ac:dyDescent="0.3">
      <c r="A2" s="273" t="s">
        <v>286</v>
      </c>
      <c r="B2" s="455"/>
      <c r="E2" s="520"/>
      <c r="F2" s="518"/>
      <c r="H2" s="459"/>
      <c r="L2" s="590" t="s">
        <v>10</v>
      </c>
    </row>
    <row r="3" spans="1:12" ht="18.75" x14ac:dyDescent="0.3">
      <c r="B3" s="455"/>
      <c r="E3" s="520"/>
      <c r="F3" s="518"/>
      <c r="H3" s="459"/>
      <c r="L3" s="590"/>
    </row>
    <row r="4" spans="1:12" ht="17.25" customHeight="1" x14ac:dyDescent="0.3">
      <c r="A4" s="591" t="s">
        <v>393</v>
      </c>
      <c r="B4" s="591"/>
      <c r="C4" s="591"/>
      <c r="D4" s="591"/>
      <c r="E4" s="591"/>
      <c r="F4" s="591"/>
      <c r="G4" s="591"/>
      <c r="H4" s="591"/>
      <c r="I4" s="591"/>
      <c r="J4" s="591"/>
      <c r="K4" s="591"/>
      <c r="L4" s="591"/>
    </row>
    <row r="5" spans="1:12" ht="17.25" customHeight="1" x14ac:dyDescent="0.25">
      <c r="A5" s="592"/>
      <c r="B5" s="592"/>
      <c r="C5" s="592"/>
      <c r="D5" s="592"/>
      <c r="E5" s="592"/>
      <c r="F5" s="592"/>
      <c r="G5" s="592"/>
      <c r="H5" s="592"/>
      <c r="I5" s="593"/>
      <c r="J5" s="593"/>
      <c r="K5" s="593"/>
      <c r="L5" s="594" t="s">
        <v>424</v>
      </c>
    </row>
    <row r="6" spans="1:12" ht="60" customHeight="1" x14ac:dyDescent="0.25">
      <c r="A6" s="595" t="s">
        <v>3</v>
      </c>
      <c r="B6" s="595" t="s">
        <v>768</v>
      </c>
      <c r="C6" s="596" t="s">
        <v>877</v>
      </c>
      <c r="D6" s="596"/>
      <c r="E6" s="596"/>
      <c r="F6" s="596"/>
      <c r="G6" s="596"/>
      <c r="H6" s="596"/>
      <c r="I6" s="597" t="s">
        <v>878</v>
      </c>
      <c r="J6" s="597"/>
      <c r="K6" s="597" t="s">
        <v>879</v>
      </c>
      <c r="L6" s="597"/>
    </row>
    <row r="7" spans="1:12" ht="36.950000000000003" customHeight="1" x14ac:dyDescent="0.25">
      <c r="A7" s="595"/>
      <c r="B7" s="595"/>
      <c r="C7" s="598" t="s">
        <v>880</v>
      </c>
      <c r="D7" s="598" t="s">
        <v>881</v>
      </c>
      <c r="E7" s="598" t="s">
        <v>882</v>
      </c>
      <c r="F7" s="598" t="s">
        <v>883</v>
      </c>
      <c r="G7" s="598" t="s">
        <v>884</v>
      </c>
      <c r="H7" s="598" t="s">
        <v>2</v>
      </c>
      <c r="I7" s="599" t="s">
        <v>885</v>
      </c>
      <c r="J7" s="599" t="s">
        <v>886</v>
      </c>
      <c r="K7" s="599" t="s">
        <v>885</v>
      </c>
      <c r="L7" s="599" t="s">
        <v>886</v>
      </c>
    </row>
    <row r="8" spans="1:12" s="488" customFormat="1" ht="12.75" x14ac:dyDescent="0.2">
      <c r="A8" s="572">
        <v>2005</v>
      </c>
      <c r="B8" s="572" t="s">
        <v>778</v>
      </c>
      <c r="C8" s="600">
        <v>392.8</v>
      </c>
      <c r="D8" s="600">
        <v>425.29</v>
      </c>
      <c r="E8" s="600">
        <v>228.67</v>
      </c>
      <c r="F8" s="600">
        <v>245.53</v>
      </c>
      <c r="G8" s="600">
        <v>565.75</v>
      </c>
      <c r="H8" s="600">
        <v>1858.04</v>
      </c>
      <c r="I8" s="601">
        <v>6.29</v>
      </c>
      <c r="J8" s="601">
        <v>6.74</v>
      </c>
      <c r="K8" s="601">
        <v>5.0999999999999996</v>
      </c>
      <c r="L8" s="601">
        <v>5.07</v>
      </c>
    </row>
    <row r="9" spans="1:12" s="488" customFormat="1" ht="12.75" x14ac:dyDescent="0.2">
      <c r="A9" s="578">
        <v>2006</v>
      </c>
      <c r="B9" s="578" t="s">
        <v>778</v>
      </c>
      <c r="C9" s="602">
        <v>710.5</v>
      </c>
      <c r="D9" s="602">
        <v>986.13</v>
      </c>
      <c r="E9" s="602">
        <v>465.95</v>
      </c>
      <c r="F9" s="602">
        <v>450.12</v>
      </c>
      <c r="G9" s="602">
        <v>967.85</v>
      </c>
      <c r="H9" s="602">
        <v>3580.5499999999997</v>
      </c>
      <c r="I9" s="603">
        <v>6.82</v>
      </c>
      <c r="J9" s="603">
        <v>7.1</v>
      </c>
      <c r="K9" s="603">
        <v>5.44</v>
      </c>
      <c r="L9" s="603">
        <v>5.39</v>
      </c>
    </row>
    <row r="10" spans="1:12" s="488" customFormat="1" ht="12.75" x14ac:dyDescent="0.2">
      <c r="A10" s="572">
        <v>2007</v>
      </c>
      <c r="B10" s="572" t="s">
        <v>778</v>
      </c>
      <c r="C10" s="604">
        <v>976.6</v>
      </c>
      <c r="D10" s="604">
        <v>568.24</v>
      </c>
      <c r="E10" s="604">
        <v>217.32</v>
      </c>
      <c r="F10" s="604">
        <v>316.55</v>
      </c>
      <c r="G10" s="604">
        <v>745.05</v>
      </c>
      <c r="H10" s="604">
        <v>2823.76</v>
      </c>
      <c r="I10" s="605">
        <v>11.83</v>
      </c>
      <c r="J10" s="605">
        <v>12.15</v>
      </c>
      <c r="K10" s="605">
        <v>10.97</v>
      </c>
      <c r="L10" s="605">
        <v>10.88</v>
      </c>
    </row>
    <row r="11" spans="1:12" s="488" customFormat="1" ht="12.75" x14ac:dyDescent="0.2">
      <c r="A11" s="578">
        <v>2008</v>
      </c>
      <c r="B11" s="578" t="s">
        <v>778</v>
      </c>
      <c r="C11" s="606">
        <v>2060.62</v>
      </c>
      <c r="D11" s="606">
        <v>1115.5999999999999</v>
      </c>
      <c r="E11" s="606">
        <v>520.76</v>
      </c>
      <c r="F11" s="606">
        <v>514.05999999999995</v>
      </c>
      <c r="G11" s="606">
        <v>1260.6500000000001</v>
      </c>
      <c r="H11" s="606">
        <v>5471.6899999999987</v>
      </c>
      <c r="I11" s="607">
        <v>9.86</v>
      </c>
      <c r="J11" s="607">
        <v>10.23</v>
      </c>
      <c r="K11" s="607">
        <v>14.91</v>
      </c>
      <c r="L11" s="607">
        <v>14.84</v>
      </c>
    </row>
    <row r="12" spans="1:12" s="488" customFormat="1" ht="12.75" x14ac:dyDescent="0.2">
      <c r="A12" s="572">
        <v>2009</v>
      </c>
      <c r="B12" s="572" t="s">
        <v>778</v>
      </c>
      <c r="C12" s="604">
        <v>1515.37</v>
      </c>
      <c r="D12" s="604">
        <v>1315.74</v>
      </c>
      <c r="E12" s="604">
        <v>464.39</v>
      </c>
      <c r="F12" s="604">
        <v>519.22</v>
      </c>
      <c r="G12" s="604">
        <v>808.99</v>
      </c>
      <c r="H12" s="604">
        <v>4623.7099999999991</v>
      </c>
      <c r="I12" s="605">
        <v>6.65</v>
      </c>
      <c r="J12" s="605">
        <v>6.26</v>
      </c>
      <c r="K12" s="605">
        <v>11.12</v>
      </c>
      <c r="L12" s="605">
        <v>11.1</v>
      </c>
    </row>
    <row r="13" spans="1:12" s="488" customFormat="1" ht="12.75" x14ac:dyDescent="0.2">
      <c r="A13" s="578">
        <v>2010</v>
      </c>
      <c r="B13" s="578" t="s">
        <v>778</v>
      </c>
      <c r="C13" s="606">
        <v>963.46</v>
      </c>
      <c r="D13" s="606">
        <v>940.26</v>
      </c>
      <c r="E13" s="606">
        <v>448.39</v>
      </c>
      <c r="F13" s="606">
        <v>438.55</v>
      </c>
      <c r="G13" s="606">
        <v>858.3</v>
      </c>
      <c r="H13" s="606">
        <v>3648.96</v>
      </c>
      <c r="I13" s="607">
        <v>4</v>
      </c>
      <c r="J13" s="607">
        <v>3.41</v>
      </c>
      <c r="K13" s="607">
        <v>7.42</v>
      </c>
      <c r="L13" s="607">
        <v>7.42</v>
      </c>
    </row>
    <row r="14" spans="1:12" s="488" customFormat="1" ht="12.75" x14ac:dyDescent="0.2">
      <c r="A14" s="572">
        <v>2011</v>
      </c>
      <c r="B14" s="572" t="s">
        <v>778</v>
      </c>
      <c r="C14" s="604">
        <v>1720.11</v>
      </c>
      <c r="D14" s="604">
        <v>1202.98</v>
      </c>
      <c r="E14" s="604">
        <v>401.69</v>
      </c>
      <c r="F14" s="604">
        <v>811.27</v>
      </c>
      <c r="G14" s="604">
        <v>1519.13</v>
      </c>
      <c r="H14" s="604">
        <v>5655.18</v>
      </c>
      <c r="I14" s="605">
        <v>3.83</v>
      </c>
      <c r="J14" s="605">
        <v>3.26</v>
      </c>
      <c r="K14" s="605">
        <v>6.9</v>
      </c>
      <c r="L14" s="605">
        <v>6.9</v>
      </c>
    </row>
    <row r="15" spans="1:12" s="488" customFormat="1" ht="12.75" x14ac:dyDescent="0.2">
      <c r="A15" s="578">
        <v>2012</v>
      </c>
      <c r="B15" s="578" t="s">
        <v>778</v>
      </c>
      <c r="C15" s="606">
        <v>1381.04</v>
      </c>
      <c r="D15" s="606">
        <v>654.99</v>
      </c>
      <c r="E15" s="606">
        <v>283.83999999999997</v>
      </c>
      <c r="F15" s="606">
        <v>748.29</v>
      </c>
      <c r="G15" s="606">
        <v>1021.2</v>
      </c>
      <c r="H15" s="606">
        <v>4089.3599999999997</v>
      </c>
      <c r="I15" s="607">
        <v>9.52</v>
      </c>
      <c r="J15" s="607">
        <v>9.1199999999999992</v>
      </c>
      <c r="K15" s="607">
        <v>10.28</v>
      </c>
      <c r="L15" s="607">
        <v>10.27</v>
      </c>
    </row>
    <row r="16" spans="1:12" s="488" customFormat="1" ht="12.75" x14ac:dyDescent="0.2">
      <c r="A16" s="572">
        <v>2013</v>
      </c>
      <c r="B16" s="572" t="s">
        <v>778</v>
      </c>
      <c r="C16" s="604">
        <v>2878.23</v>
      </c>
      <c r="D16" s="604">
        <v>857.61</v>
      </c>
      <c r="E16" s="604">
        <v>231.4</v>
      </c>
      <c r="F16" s="604">
        <v>485.07</v>
      </c>
      <c r="G16" s="604">
        <v>920.91</v>
      </c>
      <c r="H16" s="604">
        <v>5373.22</v>
      </c>
      <c r="I16" s="605">
        <v>8.14</v>
      </c>
      <c r="J16" s="605">
        <v>7.78</v>
      </c>
      <c r="K16" s="605">
        <v>8.61</v>
      </c>
      <c r="L16" s="605">
        <v>8.61</v>
      </c>
    </row>
    <row r="17" spans="1:12" s="488" customFormat="1" ht="12.75" x14ac:dyDescent="0.2">
      <c r="A17" s="578">
        <v>2014</v>
      </c>
      <c r="B17" s="578" t="s">
        <v>778</v>
      </c>
      <c r="C17" s="606">
        <v>3487.9</v>
      </c>
      <c r="D17" s="606">
        <v>1225.2</v>
      </c>
      <c r="E17" s="606">
        <v>241.6</v>
      </c>
      <c r="F17" s="606">
        <v>562.79999999999995</v>
      </c>
      <c r="G17" s="606">
        <v>1154.2</v>
      </c>
      <c r="H17" s="606">
        <v>6671.7000000000007</v>
      </c>
      <c r="I17" s="607">
        <v>4.5</v>
      </c>
      <c r="J17" s="607">
        <v>4.0999999999999996</v>
      </c>
      <c r="K17" s="607">
        <v>5.7</v>
      </c>
      <c r="L17" s="607">
        <v>5.7</v>
      </c>
    </row>
    <row r="18" spans="1:12" s="488" customFormat="1" ht="12.75" x14ac:dyDescent="0.2">
      <c r="A18" s="572">
        <v>2015</v>
      </c>
      <c r="B18" s="572" t="s">
        <v>778</v>
      </c>
      <c r="C18" s="604">
        <v>2803</v>
      </c>
      <c r="D18" s="604">
        <v>1645.6</v>
      </c>
      <c r="E18" s="604">
        <v>456.1</v>
      </c>
      <c r="F18" s="604">
        <v>687.3</v>
      </c>
      <c r="G18" s="604">
        <v>1140.0999999999999</v>
      </c>
      <c r="H18" s="604">
        <v>6732.1</v>
      </c>
      <c r="I18" s="605">
        <v>5.9</v>
      </c>
      <c r="J18" s="605">
        <v>5.3</v>
      </c>
      <c r="K18" s="605">
        <v>5.9</v>
      </c>
      <c r="L18" s="605">
        <v>5.9</v>
      </c>
    </row>
    <row r="19" spans="1:12" s="488" customFormat="1" ht="12.75" x14ac:dyDescent="0.2">
      <c r="A19" s="578">
        <v>2016</v>
      </c>
      <c r="B19" s="578" t="s">
        <v>778</v>
      </c>
      <c r="C19" s="606">
        <v>5064.8999999999996</v>
      </c>
      <c r="D19" s="606">
        <v>1763.2</v>
      </c>
      <c r="E19" s="606">
        <v>266.7</v>
      </c>
      <c r="F19" s="606">
        <v>496.4</v>
      </c>
      <c r="G19" s="606">
        <v>1117.3</v>
      </c>
      <c r="H19" s="606">
        <v>8708.4999999999982</v>
      </c>
      <c r="I19" s="607">
        <v>9.1999999999999993</v>
      </c>
      <c r="J19" s="607">
        <v>7.5</v>
      </c>
      <c r="K19" s="607">
        <v>7.5</v>
      </c>
      <c r="L19" s="607">
        <v>7.5</v>
      </c>
    </row>
    <row r="20" spans="1:12" s="488" customFormat="1" ht="12.75" x14ac:dyDescent="0.2">
      <c r="A20" s="572">
        <v>2017</v>
      </c>
      <c r="B20" s="572" t="s">
        <v>778</v>
      </c>
      <c r="C20" s="604">
        <v>3718.1</v>
      </c>
      <c r="D20" s="604">
        <v>1613.7</v>
      </c>
      <c r="E20" s="604">
        <v>319.2</v>
      </c>
      <c r="F20" s="604">
        <v>736.1</v>
      </c>
      <c r="G20" s="604">
        <v>1638.1</v>
      </c>
      <c r="H20" s="604">
        <v>8025.2000000000007</v>
      </c>
      <c r="I20" s="605">
        <v>7.1</v>
      </c>
      <c r="J20" s="605">
        <v>4.4000000000000004</v>
      </c>
      <c r="K20" s="605">
        <v>7.8</v>
      </c>
      <c r="L20" s="605">
        <v>7.8</v>
      </c>
    </row>
    <row r="21" spans="1:12" s="488" customFormat="1" ht="12.75" x14ac:dyDescent="0.2">
      <c r="A21" s="578">
        <v>2018</v>
      </c>
      <c r="B21" s="578" t="s">
        <v>778</v>
      </c>
      <c r="C21" s="606">
        <v>1806.7</v>
      </c>
      <c r="D21" s="606">
        <v>1917.9</v>
      </c>
      <c r="E21" s="606">
        <v>614.4</v>
      </c>
      <c r="F21" s="606">
        <v>572.70000000000005</v>
      </c>
      <c r="G21" s="606">
        <v>1720.1</v>
      </c>
      <c r="H21" s="606">
        <v>6631.7999999999993</v>
      </c>
      <c r="I21" s="607">
        <v>6.1</v>
      </c>
      <c r="J21" s="607">
        <v>5.8</v>
      </c>
      <c r="K21" s="607">
        <v>6.2</v>
      </c>
      <c r="L21" s="607">
        <v>6.2</v>
      </c>
    </row>
    <row r="22" spans="1:12" s="488" customFormat="1" ht="12.75" x14ac:dyDescent="0.2">
      <c r="A22" s="572">
        <v>2019</v>
      </c>
      <c r="B22" s="572" t="s">
        <v>778</v>
      </c>
      <c r="C22" s="604">
        <v>2066.1</v>
      </c>
      <c r="D22" s="604">
        <v>2751.7</v>
      </c>
      <c r="E22" s="604">
        <v>404.2</v>
      </c>
      <c r="F22" s="604">
        <v>603.70000000000005</v>
      </c>
      <c r="G22" s="604">
        <v>1908.1</v>
      </c>
      <c r="H22" s="604">
        <v>7733.7999999999993</v>
      </c>
      <c r="I22" s="605">
        <v>4.8</v>
      </c>
      <c r="J22" s="605">
        <v>4.8</v>
      </c>
      <c r="K22" s="605">
        <v>5</v>
      </c>
      <c r="L22" s="605">
        <v>6.1</v>
      </c>
    </row>
    <row r="23" spans="1:12" s="488" customFormat="1" ht="12.75" x14ac:dyDescent="0.2">
      <c r="A23" s="578">
        <v>2020</v>
      </c>
      <c r="B23" s="578" t="s">
        <v>778</v>
      </c>
      <c r="C23" s="606">
        <v>2553.4</v>
      </c>
      <c r="D23" s="606">
        <v>2389.1999999999998</v>
      </c>
      <c r="E23" s="606">
        <v>905.5</v>
      </c>
      <c r="F23" s="606">
        <v>823.7</v>
      </c>
      <c r="G23" s="606">
        <v>1291.8</v>
      </c>
      <c r="H23" s="606">
        <v>7963.6</v>
      </c>
      <c r="I23" s="607">
        <v>1.3</v>
      </c>
      <c r="J23" s="607">
        <v>1.4</v>
      </c>
      <c r="K23" s="607">
        <v>4.5</v>
      </c>
      <c r="L23" s="607">
        <v>5.0999999999999996</v>
      </c>
    </row>
    <row r="24" spans="1:12" s="488" customFormat="1" ht="12.75" x14ac:dyDescent="0.2">
      <c r="A24" s="572">
        <v>2021</v>
      </c>
      <c r="B24" s="572" t="s">
        <v>778</v>
      </c>
      <c r="C24" s="604">
        <v>2849.3</v>
      </c>
      <c r="D24" s="604">
        <v>1899.4</v>
      </c>
      <c r="E24" s="604">
        <v>518.4</v>
      </c>
      <c r="F24" s="604">
        <v>466.9</v>
      </c>
      <c r="G24" s="604">
        <v>574.29999999999995</v>
      </c>
      <c r="H24" s="604">
        <v>6308.3</v>
      </c>
      <c r="I24" s="605">
        <v>-3.4</v>
      </c>
      <c r="J24" s="605">
        <v>-5.3</v>
      </c>
      <c r="K24" s="605">
        <v>4.5999999999999996</v>
      </c>
      <c r="L24" s="605">
        <v>5.7</v>
      </c>
    </row>
    <row r="25" spans="1:12" s="488" customFormat="1" ht="12.75" x14ac:dyDescent="0.2">
      <c r="A25" s="578">
        <v>2022</v>
      </c>
      <c r="B25" s="578" t="s">
        <v>778</v>
      </c>
      <c r="C25" s="606">
        <v>2776.3199999999997</v>
      </c>
      <c r="D25" s="606">
        <v>790.14999999999986</v>
      </c>
      <c r="E25" s="606">
        <v>335.23</v>
      </c>
      <c r="F25" s="606">
        <v>143.34</v>
      </c>
      <c r="G25" s="606">
        <v>45.98</v>
      </c>
      <c r="H25" s="606">
        <v>4091.0199999999995</v>
      </c>
      <c r="I25" s="607">
        <v>0.1259661521887358</v>
      </c>
      <c r="J25" s="607">
        <v>-5.8864736395357831</v>
      </c>
      <c r="K25" s="607">
        <v>6.2290644241076878</v>
      </c>
      <c r="L25" s="607">
        <v>21.250646175320561</v>
      </c>
    </row>
    <row r="26" spans="1:12" s="488" customFormat="1" ht="12.75" x14ac:dyDescent="0.2">
      <c r="A26" s="572">
        <v>2023</v>
      </c>
      <c r="B26" s="572" t="s">
        <v>778</v>
      </c>
      <c r="C26" s="604">
        <v>2484.4399999999996</v>
      </c>
      <c r="D26" s="604">
        <v>2267.2999999999997</v>
      </c>
      <c r="E26" s="604">
        <v>344.1400000000001</v>
      </c>
      <c r="F26" s="604">
        <v>466.78</v>
      </c>
      <c r="G26" s="604">
        <v>118.48</v>
      </c>
      <c r="H26" s="604">
        <v>5681.1399999999994</v>
      </c>
      <c r="I26" s="605">
        <v>11.016380589045319</v>
      </c>
      <c r="J26" s="605">
        <v>11.54846838171431</v>
      </c>
      <c r="K26" s="605">
        <v>6.6497007134991062</v>
      </c>
      <c r="L26" s="605">
        <v>16.510168177995617</v>
      </c>
    </row>
    <row r="27" spans="1:12" s="488" customFormat="1" ht="12.75" x14ac:dyDescent="0.2">
      <c r="A27" s="578">
        <v>2024</v>
      </c>
      <c r="B27" s="578" t="s">
        <v>778</v>
      </c>
      <c r="C27" s="606">
        <v>1277.1999999999998</v>
      </c>
      <c r="D27" s="606">
        <v>2077.0299999999997</v>
      </c>
      <c r="E27" s="606">
        <v>694.11</v>
      </c>
      <c r="F27" s="606">
        <v>669.25</v>
      </c>
      <c r="G27" s="606">
        <v>305.64</v>
      </c>
      <c r="H27" s="606">
        <v>5023.2300000000005</v>
      </c>
      <c r="I27" s="607">
        <v>2.8295780253606573</v>
      </c>
      <c r="J27" s="607">
        <v>2.8589211168932147</v>
      </c>
      <c r="K27" s="607">
        <v>2.6225489909780841</v>
      </c>
      <c r="L27" s="607">
        <v>4.6775490767636265</v>
      </c>
    </row>
    <row r="28" spans="1:12" s="488" customFormat="1" ht="12.75" x14ac:dyDescent="0.2">
      <c r="A28" s="572" t="s">
        <v>887</v>
      </c>
      <c r="B28" s="572" t="s">
        <v>778</v>
      </c>
      <c r="C28" s="604">
        <v>1954.2799999999997</v>
      </c>
      <c r="D28" s="604">
        <v>2266.1299999999997</v>
      </c>
      <c r="E28" s="604">
        <v>669.9899999999999</v>
      </c>
      <c r="F28" s="604">
        <v>991.47</v>
      </c>
      <c r="G28" s="604">
        <v>332.04999999999995</v>
      </c>
      <c r="H28" s="604">
        <v>6213.9199999999992</v>
      </c>
      <c r="I28" s="605">
        <v>2.5324329320970089</v>
      </c>
      <c r="J28" s="605">
        <v>2.3283653976985699</v>
      </c>
      <c r="K28" s="605">
        <v>2.8188927033795981</v>
      </c>
      <c r="L28" s="605">
        <v>3.2521213212484987</v>
      </c>
    </row>
    <row r="29" spans="1:12" s="488" customFormat="1" ht="12.75" x14ac:dyDescent="0.2">
      <c r="A29" s="602"/>
      <c r="B29" s="602"/>
      <c r="C29" s="608"/>
      <c r="D29" s="608"/>
      <c r="E29" s="608"/>
      <c r="F29" s="608"/>
      <c r="G29" s="608"/>
      <c r="H29" s="608"/>
      <c r="I29" s="603"/>
      <c r="J29" s="603"/>
      <c r="K29" s="603"/>
      <c r="L29" s="603"/>
    </row>
    <row r="30" spans="1:12" s="488" customFormat="1" ht="12.75" x14ac:dyDescent="0.2">
      <c r="A30" s="572" t="s">
        <v>888</v>
      </c>
      <c r="B30" s="572" t="s">
        <v>780</v>
      </c>
      <c r="C30" s="609">
        <v>152.02000000000001</v>
      </c>
      <c r="D30" s="609">
        <v>160.94</v>
      </c>
      <c r="E30" s="609">
        <v>45.3</v>
      </c>
      <c r="F30" s="609">
        <v>87.1</v>
      </c>
      <c r="G30" s="609">
        <v>191.5</v>
      </c>
      <c r="H30" s="609">
        <v>636.86</v>
      </c>
      <c r="I30" s="601">
        <v>10.17</v>
      </c>
      <c r="J30" s="601">
        <v>10.39</v>
      </c>
      <c r="K30" s="601">
        <v>8.25</v>
      </c>
      <c r="L30" s="601">
        <v>8.17</v>
      </c>
    </row>
    <row r="31" spans="1:12" s="488" customFormat="1" ht="12.75" x14ac:dyDescent="0.2">
      <c r="A31" s="572" t="s">
        <v>889</v>
      </c>
      <c r="B31" s="572" t="s">
        <v>780</v>
      </c>
      <c r="C31" s="609">
        <v>244.37</v>
      </c>
      <c r="D31" s="609">
        <v>168.17</v>
      </c>
      <c r="E31" s="609">
        <v>50.85</v>
      </c>
      <c r="F31" s="609">
        <v>59.6</v>
      </c>
      <c r="G31" s="609">
        <v>176.8</v>
      </c>
      <c r="H31" s="609">
        <v>699.79</v>
      </c>
      <c r="I31" s="601">
        <v>12.66</v>
      </c>
      <c r="J31" s="601">
        <v>12.43</v>
      </c>
      <c r="K31" s="601">
        <v>10.93</v>
      </c>
      <c r="L31" s="601">
        <v>10.83</v>
      </c>
    </row>
    <row r="32" spans="1:12" s="488" customFormat="1" ht="12.75" x14ac:dyDescent="0.2">
      <c r="A32" s="572" t="s">
        <v>890</v>
      </c>
      <c r="B32" s="572" t="s">
        <v>780</v>
      </c>
      <c r="C32" s="609">
        <v>221.45</v>
      </c>
      <c r="D32" s="609">
        <v>41.73</v>
      </c>
      <c r="E32" s="609">
        <v>16.05</v>
      </c>
      <c r="F32" s="609">
        <v>65.05</v>
      </c>
      <c r="G32" s="609">
        <v>142</v>
      </c>
      <c r="H32" s="609">
        <v>486.28</v>
      </c>
      <c r="I32" s="601">
        <v>12.42</v>
      </c>
      <c r="J32" s="601">
        <v>13.09</v>
      </c>
      <c r="K32" s="601">
        <v>12.07</v>
      </c>
      <c r="L32" s="601">
        <v>11.95</v>
      </c>
    </row>
    <row r="33" spans="1:15" s="488" customFormat="1" ht="12.75" x14ac:dyDescent="0.2">
      <c r="A33" s="572" t="s">
        <v>891</v>
      </c>
      <c r="B33" s="572" t="s">
        <v>780</v>
      </c>
      <c r="C33" s="609">
        <v>358.76</v>
      </c>
      <c r="D33" s="609">
        <v>197.4</v>
      </c>
      <c r="E33" s="609">
        <v>105.12</v>
      </c>
      <c r="F33" s="609">
        <v>104.8</v>
      </c>
      <c r="G33" s="609">
        <v>234.75</v>
      </c>
      <c r="H33" s="609">
        <v>1000.83</v>
      </c>
      <c r="I33" s="601">
        <v>12.08</v>
      </c>
      <c r="J33" s="601">
        <v>12.66</v>
      </c>
      <c r="K33" s="601">
        <v>12.65</v>
      </c>
      <c r="L33" s="601">
        <v>12.54</v>
      </c>
    </row>
    <row r="34" spans="1:15" s="488" customFormat="1" ht="12.75" x14ac:dyDescent="0.2">
      <c r="A34" s="578" t="s">
        <v>892</v>
      </c>
      <c r="B34" s="578" t="s">
        <v>780</v>
      </c>
      <c r="C34" s="608">
        <v>465.03</v>
      </c>
      <c r="D34" s="608">
        <v>220.01</v>
      </c>
      <c r="E34" s="608">
        <v>91.95</v>
      </c>
      <c r="F34" s="608">
        <v>147.04</v>
      </c>
      <c r="G34" s="608">
        <v>354.45</v>
      </c>
      <c r="H34" s="608">
        <v>1278.48</v>
      </c>
      <c r="I34" s="603">
        <v>9.98</v>
      </c>
      <c r="J34" s="603">
        <v>10.69</v>
      </c>
      <c r="K34" s="603">
        <v>15.69</v>
      </c>
      <c r="L34" s="603">
        <v>15.6</v>
      </c>
    </row>
    <row r="35" spans="1:15" s="488" customFormat="1" ht="12.75" x14ac:dyDescent="0.2">
      <c r="A35" s="578" t="s">
        <v>893</v>
      </c>
      <c r="B35" s="578" t="s">
        <v>780</v>
      </c>
      <c r="C35" s="608">
        <v>421.37</v>
      </c>
      <c r="D35" s="608">
        <v>259.38</v>
      </c>
      <c r="E35" s="608">
        <v>109.52</v>
      </c>
      <c r="F35" s="608">
        <v>118.22</v>
      </c>
      <c r="G35" s="608">
        <v>287.25</v>
      </c>
      <c r="H35" s="608">
        <v>1195.74</v>
      </c>
      <c r="I35" s="603">
        <v>9.76</v>
      </c>
      <c r="J35" s="603">
        <v>10.3</v>
      </c>
      <c r="K35" s="603">
        <v>15.03</v>
      </c>
      <c r="L35" s="603">
        <v>14.96</v>
      </c>
    </row>
    <row r="36" spans="1:15" s="488" customFormat="1" ht="12.75" x14ac:dyDescent="0.2">
      <c r="A36" s="578" t="s">
        <v>894</v>
      </c>
      <c r="B36" s="578" t="s">
        <v>780</v>
      </c>
      <c r="C36" s="608">
        <v>617.52</v>
      </c>
      <c r="D36" s="608">
        <v>372.06</v>
      </c>
      <c r="E36" s="608">
        <v>176.52</v>
      </c>
      <c r="F36" s="608">
        <v>124.5</v>
      </c>
      <c r="G36" s="608">
        <v>409.95</v>
      </c>
      <c r="H36" s="608">
        <v>1700.55</v>
      </c>
      <c r="I36" s="603">
        <v>7.76</v>
      </c>
      <c r="J36" s="603">
        <v>8.1300000000000008</v>
      </c>
      <c r="K36" s="603">
        <v>14.51</v>
      </c>
      <c r="L36" s="603">
        <v>14.44</v>
      </c>
    </row>
    <row r="37" spans="1:15" s="488" customFormat="1" ht="12.75" x14ac:dyDescent="0.2">
      <c r="A37" s="578" t="s">
        <v>895</v>
      </c>
      <c r="B37" s="578" t="s">
        <v>780</v>
      </c>
      <c r="C37" s="608">
        <v>556.70000000000005</v>
      </c>
      <c r="D37" s="608">
        <v>264.14999999999998</v>
      </c>
      <c r="E37" s="608">
        <v>142.77000000000001</v>
      </c>
      <c r="F37" s="608">
        <v>124.3</v>
      </c>
      <c r="G37" s="608">
        <v>209</v>
      </c>
      <c r="H37" s="608">
        <v>1296.92</v>
      </c>
      <c r="I37" s="603">
        <v>11.93</v>
      </c>
      <c r="J37" s="603">
        <v>11.78</v>
      </c>
      <c r="K37" s="603">
        <v>14.4</v>
      </c>
      <c r="L37" s="603">
        <v>14.33</v>
      </c>
    </row>
    <row r="38" spans="1:15" s="488" customFormat="1" ht="12.75" x14ac:dyDescent="0.2">
      <c r="A38" s="572" t="s">
        <v>896</v>
      </c>
      <c r="B38" s="572" t="s">
        <v>780</v>
      </c>
      <c r="C38" s="609">
        <v>448.11</v>
      </c>
      <c r="D38" s="609">
        <v>333.67</v>
      </c>
      <c r="E38" s="609">
        <v>95.86</v>
      </c>
      <c r="F38" s="609">
        <v>152.85</v>
      </c>
      <c r="G38" s="609">
        <v>102.72</v>
      </c>
      <c r="H38" s="609">
        <v>1133.21</v>
      </c>
      <c r="I38" s="601">
        <v>12.6</v>
      </c>
      <c r="J38" s="601">
        <v>11.49</v>
      </c>
      <c r="K38" s="601">
        <v>14.69</v>
      </c>
      <c r="L38" s="601">
        <v>14.66</v>
      </c>
    </row>
    <row r="39" spans="1:15" s="488" customFormat="1" ht="12.75" x14ac:dyDescent="0.2">
      <c r="A39" s="572" t="s">
        <v>897</v>
      </c>
      <c r="B39" s="572" t="s">
        <v>780</v>
      </c>
      <c r="C39" s="609">
        <v>343.35</v>
      </c>
      <c r="D39" s="609">
        <v>258.75</v>
      </c>
      <c r="E39" s="609">
        <v>94.53</v>
      </c>
      <c r="F39" s="609">
        <v>150.72</v>
      </c>
      <c r="G39" s="609">
        <v>236.75</v>
      </c>
      <c r="H39" s="609">
        <v>1084.0999999999999</v>
      </c>
      <c r="I39" s="601">
        <v>6.86</v>
      </c>
      <c r="J39" s="601">
        <v>6.67</v>
      </c>
      <c r="K39" s="601">
        <v>11.7</v>
      </c>
      <c r="L39" s="601">
        <v>11.68</v>
      </c>
      <c r="M39" s="509"/>
      <c r="N39" s="509"/>
      <c r="O39" s="509"/>
    </row>
    <row r="40" spans="1:15" s="488" customFormat="1" ht="12.75" x14ac:dyDescent="0.2">
      <c r="A40" s="572" t="s">
        <v>898</v>
      </c>
      <c r="B40" s="572" t="s">
        <v>780</v>
      </c>
      <c r="C40" s="609">
        <v>261.01</v>
      </c>
      <c r="D40" s="609">
        <v>354.13</v>
      </c>
      <c r="E40" s="609">
        <v>156</v>
      </c>
      <c r="F40" s="609">
        <v>120.25</v>
      </c>
      <c r="G40" s="609">
        <v>257.32</v>
      </c>
      <c r="H40" s="609">
        <v>1148.71</v>
      </c>
      <c r="I40" s="601">
        <v>3.59</v>
      </c>
      <c r="J40" s="601">
        <v>3.61</v>
      </c>
      <c r="K40" s="601">
        <v>10.23</v>
      </c>
      <c r="L40" s="601">
        <v>10.23</v>
      </c>
      <c r="M40" s="509"/>
      <c r="N40" s="509"/>
      <c r="O40" s="509"/>
    </row>
    <row r="41" spans="1:15" s="488" customFormat="1" ht="12.75" x14ac:dyDescent="0.2">
      <c r="A41" s="572" t="s">
        <v>899</v>
      </c>
      <c r="B41" s="572" t="s">
        <v>780</v>
      </c>
      <c r="C41" s="609">
        <v>462.9</v>
      </c>
      <c r="D41" s="609">
        <v>369.19</v>
      </c>
      <c r="E41" s="609">
        <v>118</v>
      </c>
      <c r="F41" s="609">
        <v>95.4</v>
      </c>
      <c r="G41" s="609">
        <v>212.2</v>
      </c>
      <c r="H41" s="609">
        <v>1257.69</v>
      </c>
      <c r="I41" s="601">
        <v>3.57</v>
      </c>
      <c r="J41" s="601">
        <v>3.27</v>
      </c>
      <c r="K41" s="601">
        <v>7.84</v>
      </c>
      <c r="L41" s="601">
        <v>7.84</v>
      </c>
      <c r="M41" s="509"/>
      <c r="N41" s="509"/>
      <c r="O41" s="509"/>
    </row>
    <row r="42" spans="1:15" s="488" customFormat="1" ht="12.75" x14ac:dyDescent="0.2">
      <c r="A42" s="578" t="s">
        <v>845</v>
      </c>
      <c r="B42" s="578" t="s">
        <v>780</v>
      </c>
      <c r="C42" s="608">
        <v>271.74</v>
      </c>
      <c r="D42" s="608">
        <v>207.26</v>
      </c>
      <c r="E42" s="608">
        <v>69.05</v>
      </c>
      <c r="F42" s="608">
        <v>80.349999999999994</v>
      </c>
      <c r="G42" s="608">
        <v>196.3</v>
      </c>
      <c r="H42" s="608">
        <v>824.7</v>
      </c>
      <c r="I42" s="603">
        <v>5.75</v>
      </c>
      <c r="J42" s="603">
        <v>5.22</v>
      </c>
      <c r="K42" s="603">
        <v>7.85</v>
      </c>
      <c r="L42" s="603">
        <v>7.84</v>
      </c>
      <c r="M42" s="509"/>
      <c r="N42" s="509"/>
      <c r="O42" s="509"/>
    </row>
    <row r="43" spans="1:15" s="488" customFormat="1" ht="12.75" x14ac:dyDescent="0.2">
      <c r="A43" s="578" t="s">
        <v>846</v>
      </c>
      <c r="B43" s="578" t="s">
        <v>780</v>
      </c>
      <c r="C43" s="608">
        <v>251.63</v>
      </c>
      <c r="D43" s="608">
        <v>217.82</v>
      </c>
      <c r="E43" s="608">
        <v>60.19</v>
      </c>
      <c r="F43" s="608">
        <v>58.25</v>
      </c>
      <c r="G43" s="608">
        <v>149.80000000000001</v>
      </c>
      <c r="H43" s="608">
        <v>737.69</v>
      </c>
      <c r="I43" s="603">
        <v>5.64</v>
      </c>
      <c r="J43" s="603">
        <v>5.15</v>
      </c>
      <c r="K43" s="603">
        <v>7.83</v>
      </c>
      <c r="L43" s="603">
        <v>7.82</v>
      </c>
      <c r="M43" s="509"/>
      <c r="N43" s="509"/>
      <c r="O43" s="509"/>
    </row>
    <row r="44" spans="1:15" s="488" customFormat="1" ht="12.75" x14ac:dyDescent="0.2">
      <c r="A44" s="578" t="s">
        <v>847</v>
      </c>
      <c r="B44" s="578" t="s">
        <v>780</v>
      </c>
      <c r="C44" s="608">
        <v>201.01</v>
      </c>
      <c r="D44" s="608">
        <v>271.37</v>
      </c>
      <c r="E44" s="608">
        <v>261.64999999999998</v>
      </c>
      <c r="F44" s="608">
        <v>197.85</v>
      </c>
      <c r="G44" s="608">
        <v>338.3</v>
      </c>
      <c r="H44" s="608">
        <v>1270.18</v>
      </c>
      <c r="I44" s="603">
        <v>3.14</v>
      </c>
      <c r="J44" s="603">
        <v>2.2999999999999998</v>
      </c>
      <c r="K44" s="603">
        <v>7.15</v>
      </c>
      <c r="L44" s="603">
        <v>7.15</v>
      </c>
      <c r="M44" s="509"/>
      <c r="N44" s="509"/>
      <c r="O44" s="509"/>
    </row>
    <row r="45" spans="1:15" s="488" customFormat="1" ht="12.75" x14ac:dyDescent="0.2">
      <c r="A45" s="578" t="s">
        <v>848</v>
      </c>
      <c r="B45" s="578" t="s">
        <v>780</v>
      </c>
      <c r="C45" s="608">
        <v>239.08</v>
      </c>
      <c r="D45" s="608">
        <v>243.81</v>
      </c>
      <c r="E45" s="608">
        <v>57.5</v>
      </c>
      <c r="F45" s="608">
        <v>102.1</v>
      </c>
      <c r="G45" s="608">
        <v>173.9</v>
      </c>
      <c r="H45" s="608">
        <v>816.39</v>
      </c>
      <c r="I45" s="603">
        <v>1.48</v>
      </c>
      <c r="J45" s="603">
        <v>0.96</v>
      </c>
      <c r="K45" s="603">
        <v>6.87</v>
      </c>
      <c r="L45" s="603">
        <v>6.87</v>
      </c>
      <c r="M45" s="509"/>
      <c r="N45" s="509"/>
      <c r="O45" s="509"/>
    </row>
    <row r="46" spans="1:15" s="488" customFormat="1" ht="12.75" x14ac:dyDescent="0.2">
      <c r="A46" s="572" t="s">
        <v>849</v>
      </c>
      <c r="B46" s="572" t="s">
        <v>780</v>
      </c>
      <c r="C46" s="609">
        <v>284.14999999999998</v>
      </c>
      <c r="D46" s="609">
        <v>182.11</v>
      </c>
      <c r="E46" s="609">
        <v>43.69</v>
      </c>
      <c r="F46" s="609">
        <v>196.32</v>
      </c>
      <c r="G46" s="609">
        <v>381.83</v>
      </c>
      <c r="H46" s="609">
        <v>1088.0999999999999</v>
      </c>
      <c r="I46" s="601">
        <v>1.97</v>
      </c>
      <c r="J46" s="601">
        <v>1.64</v>
      </c>
      <c r="K46" s="601">
        <v>6.72</v>
      </c>
      <c r="L46" s="601">
        <v>6.72</v>
      </c>
      <c r="M46" s="509"/>
      <c r="N46" s="509"/>
      <c r="O46" s="509"/>
    </row>
    <row r="47" spans="1:15" s="488" customFormat="1" ht="12.75" x14ac:dyDescent="0.2">
      <c r="A47" s="572" t="s">
        <v>850</v>
      </c>
      <c r="B47" s="572" t="s">
        <v>780</v>
      </c>
      <c r="C47" s="609">
        <v>571.1</v>
      </c>
      <c r="D47" s="609">
        <v>394.27</v>
      </c>
      <c r="E47" s="609">
        <v>72.5</v>
      </c>
      <c r="F47" s="609">
        <v>144.05000000000001</v>
      </c>
      <c r="G47" s="609">
        <v>420.65</v>
      </c>
      <c r="H47" s="609">
        <v>1602.57</v>
      </c>
      <c r="I47" s="601">
        <v>2.4500000000000002</v>
      </c>
      <c r="J47" s="601">
        <v>2.27</v>
      </c>
      <c r="K47" s="601">
        <v>6.8</v>
      </c>
      <c r="L47" s="601">
        <v>6.8</v>
      </c>
      <c r="M47" s="509"/>
      <c r="N47" s="509"/>
      <c r="O47" s="509"/>
    </row>
    <row r="48" spans="1:15" s="488" customFormat="1" ht="12.75" x14ac:dyDescent="0.2">
      <c r="A48" s="572" t="s">
        <v>851</v>
      </c>
      <c r="B48" s="572" t="s">
        <v>780</v>
      </c>
      <c r="C48" s="609">
        <v>476.07</v>
      </c>
      <c r="D48" s="609">
        <v>333.5</v>
      </c>
      <c r="E48" s="609">
        <v>112.25</v>
      </c>
      <c r="F48" s="609">
        <v>165</v>
      </c>
      <c r="G48" s="609">
        <v>317.7</v>
      </c>
      <c r="H48" s="609">
        <v>1404.52</v>
      </c>
      <c r="I48" s="601">
        <v>3.56</v>
      </c>
      <c r="J48" s="601">
        <v>2.92</v>
      </c>
      <c r="K48" s="601">
        <v>6.82</v>
      </c>
      <c r="L48" s="601">
        <v>6.82</v>
      </c>
      <c r="M48" s="509"/>
      <c r="N48" s="509"/>
      <c r="O48" s="509"/>
    </row>
    <row r="49" spans="1:15" s="488" customFormat="1" ht="12.75" x14ac:dyDescent="0.2">
      <c r="A49" s="572" t="s">
        <v>852</v>
      </c>
      <c r="B49" s="572" t="s">
        <v>780</v>
      </c>
      <c r="C49" s="609">
        <v>388.79</v>
      </c>
      <c r="D49" s="609">
        <v>293.10000000000002</v>
      </c>
      <c r="E49" s="609">
        <v>173.25</v>
      </c>
      <c r="F49" s="609">
        <v>305.89999999999998</v>
      </c>
      <c r="G49" s="609">
        <v>398.95</v>
      </c>
      <c r="H49" s="609">
        <v>1559.99</v>
      </c>
      <c r="I49" s="601">
        <v>7.35</v>
      </c>
      <c r="J49" s="601">
        <v>6.21</v>
      </c>
      <c r="K49" s="601">
        <v>7.25</v>
      </c>
      <c r="L49" s="601">
        <v>7.25</v>
      </c>
      <c r="M49" s="509"/>
      <c r="N49" s="509"/>
      <c r="O49" s="509"/>
    </row>
    <row r="50" spans="1:15" s="488" customFormat="1" ht="12.75" x14ac:dyDescent="0.2">
      <c r="A50" s="578" t="s">
        <v>853</v>
      </c>
      <c r="B50" s="578" t="s">
        <v>780</v>
      </c>
      <c r="C50" s="608">
        <v>349.12</v>
      </c>
      <c r="D50" s="608">
        <v>214.7</v>
      </c>
      <c r="E50" s="608">
        <v>71.010000000000005</v>
      </c>
      <c r="F50" s="608">
        <v>343.48</v>
      </c>
      <c r="G50" s="608">
        <v>333.45</v>
      </c>
      <c r="H50" s="608">
        <v>1311.76</v>
      </c>
      <c r="I50" s="603">
        <v>6.83</v>
      </c>
      <c r="J50" s="603">
        <v>6.32</v>
      </c>
      <c r="K50" s="603">
        <v>8.93</v>
      </c>
      <c r="L50" s="603">
        <v>8.93</v>
      </c>
      <c r="M50" s="509"/>
      <c r="N50" s="509"/>
      <c r="O50" s="509"/>
    </row>
    <row r="51" spans="1:15" s="488" customFormat="1" ht="12.75" x14ac:dyDescent="0.2">
      <c r="A51" s="578" t="s">
        <v>854</v>
      </c>
      <c r="B51" s="578" t="s">
        <v>780</v>
      </c>
      <c r="C51" s="608">
        <v>369.24</v>
      </c>
      <c r="D51" s="608">
        <v>153.96</v>
      </c>
      <c r="E51" s="608">
        <v>51.26</v>
      </c>
      <c r="F51" s="608">
        <v>185.47</v>
      </c>
      <c r="G51" s="608">
        <v>188.6</v>
      </c>
      <c r="H51" s="608">
        <v>948.53</v>
      </c>
      <c r="I51" s="603">
        <v>9.4600000000000009</v>
      </c>
      <c r="J51" s="603">
        <v>9.19</v>
      </c>
      <c r="K51" s="603">
        <v>10.92</v>
      </c>
      <c r="L51" s="603">
        <v>10.92</v>
      </c>
      <c r="M51" s="509"/>
    </row>
    <row r="52" spans="1:15" s="488" customFormat="1" ht="12.75" x14ac:dyDescent="0.2">
      <c r="A52" s="578" t="s">
        <v>855</v>
      </c>
      <c r="B52" s="578" t="s">
        <v>780</v>
      </c>
      <c r="C52" s="608">
        <v>326.72000000000003</v>
      </c>
      <c r="D52" s="608">
        <v>126.71</v>
      </c>
      <c r="E52" s="608">
        <v>46.59</v>
      </c>
      <c r="F52" s="608">
        <v>117.08</v>
      </c>
      <c r="G52" s="608">
        <v>277.75</v>
      </c>
      <c r="H52" s="608">
        <v>894.85</v>
      </c>
      <c r="I52" s="603">
        <v>11</v>
      </c>
      <c r="J52" s="603">
        <v>10.38</v>
      </c>
      <c r="K52" s="603">
        <v>10.93</v>
      </c>
      <c r="L52" s="603">
        <v>10.92</v>
      </c>
      <c r="M52" s="509"/>
      <c r="N52" s="509"/>
      <c r="O52" s="509"/>
    </row>
    <row r="53" spans="1:15" s="488" customFormat="1" ht="12.75" x14ac:dyDescent="0.2">
      <c r="A53" s="578" t="s">
        <v>856</v>
      </c>
      <c r="B53" s="578" t="s">
        <v>780</v>
      </c>
      <c r="C53" s="608">
        <v>335.96</v>
      </c>
      <c r="D53" s="608">
        <v>159.62</v>
      </c>
      <c r="E53" s="608">
        <v>114.98</v>
      </c>
      <c r="F53" s="608">
        <v>102.26</v>
      </c>
      <c r="G53" s="608">
        <v>221.4</v>
      </c>
      <c r="H53" s="608">
        <v>934.22</v>
      </c>
      <c r="I53" s="603">
        <v>10.8</v>
      </c>
      <c r="J53" s="603">
        <v>10.58</v>
      </c>
      <c r="K53" s="603">
        <v>10.33</v>
      </c>
      <c r="L53" s="603">
        <v>10.32</v>
      </c>
      <c r="M53" s="509"/>
      <c r="N53" s="509"/>
      <c r="O53" s="509"/>
    </row>
    <row r="54" spans="1:15" s="488" customFormat="1" ht="12.75" x14ac:dyDescent="0.2">
      <c r="A54" s="572" t="s">
        <v>857</v>
      </c>
      <c r="B54" s="572" t="s">
        <v>780</v>
      </c>
      <c r="C54" s="609">
        <v>500.78</v>
      </c>
      <c r="D54" s="609">
        <v>233.98</v>
      </c>
      <c r="E54" s="609">
        <v>61.48</v>
      </c>
      <c r="F54" s="609">
        <v>114.76</v>
      </c>
      <c r="G54" s="609">
        <v>244.4</v>
      </c>
      <c r="H54" s="609">
        <v>1155.4000000000001</v>
      </c>
      <c r="I54" s="601">
        <v>8.74</v>
      </c>
      <c r="J54" s="601">
        <v>8.57</v>
      </c>
      <c r="K54" s="601">
        <v>9.08</v>
      </c>
      <c r="L54" s="601">
        <v>9.07</v>
      </c>
      <c r="M54" s="509"/>
      <c r="N54" s="509"/>
      <c r="O54" s="509"/>
    </row>
    <row r="55" spans="1:15" s="488" customFormat="1" ht="12.75" x14ac:dyDescent="0.2">
      <c r="A55" s="572" t="s">
        <v>858</v>
      </c>
      <c r="B55" s="572" t="s">
        <v>780</v>
      </c>
      <c r="C55" s="609">
        <v>633.62</v>
      </c>
      <c r="D55" s="609">
        <v>227.64</v>
      </c>
      <c r="E55" s="609">
        <v>57.87</v>
      </c>
      <c r="F55" s="609">
        <v>142.30000000000001</v>
      </c>
      <c r="G55" s="609">
        <v>327.5</v>
      </c>
      <c r="H55" s="609">
        <v>1388.93</v>
      </c>
      <c r="I55" s="601">
        <v>8.5</v>
      </c>
      <c r="J55" s="601">
        <v>8.06</v>
      </c>
      <c r="K55" s="601">
        <v>8.68</v>
      </c>
      <c r="L55" s="601">
        <v>8.67</v>
      </c>
      <c r="M55" s="509"/>
      <c r="N55" s="509"/>
      <c r="O55" s="509"/>
    </row>
    <row r="56" spans="1:15" s="488" customFormat="1" ht="12.75" x14ac:dyDescent="0.2">
      <c r="A56" s="572" t="s">
        <v>859</v>
      </c>
      <c r="B56" s="572" t="s">
        <v>780</v>
      </c>
      <c r="C56" s="609">
        <v>939.47</v>
      </c>
      <c r="D56" s="609">
        <v>192.1</v>
      </c>
      <c r="E56" s="609">
        <v>41.57</v>
      </c>
      <c r="F56" s="609">
        <v>147.66</v>
      </c>
      <c r="G56" s="609">
        <v>133.31</v>
      </c>
      <c r="H56" s="609">
        <v>1454.11</v>
      </c>
      <c r="I56" s="601">
        <v>8.2799999999999994</v>
      </c>
      <c r="J56" s="601">
        <v>7.87</v>
      </c>
      <c r="K56" s="601">
        <v>8.36</v>
      </c>
      <c r="L56" s="601">
        <v>8.35</v>
      </c>
      <c r="M56" s="509"/>
      <c r="N56" s="509"/>
      <c r="O56" s="509"/>
    </row>
    <row r="57" spans="1:15" s="488" customFormat="1" ht="12.75" x14ac:dyDescent="0.2">
      <c r="A57" s="572" t="s">
        <v>860</v>
      </c>
      <c r="B57" s="572" t="s">
        <v>780</v>
      </c>
      <c r="C57" s="609">
        <v>804.36</v>
      </c>
      <c r="D57" s="609">
        <v>203.89</v>
      </c>
      <c r="E57" s="609">
        <v>70.48</v>
      </c>
      <c r="F57" s="609">
        <v>80.349999999999994</v>
      </c>
      <c r="G57" s="609">
        <v>215.7</v>
      </c>
      <c r="H57" s="609">
        <v>1374.78</v>
      </c>
      <c r="I57" s="601">
        <v>7.04</v>
      </c>
      <c r="J57" s="601">
        <v>6.62</v>
      </c>
      <c r="K57" s="601">
        <v>8.34</v>
      </c>
      <c r="L57" s="601">
        <v>8.34</v>
      </c>
      <c r="M57" s="509"/>
      <c r="N57" s="509"/>
      <c r="O57" s="509"/>
    </row>
    <row r="58" spans="1:15" s="488" customFormat="1" ht="12.75" x14ac:dyDescent="0.2">
      <c r="A58" s="578" t="s">
        <v>861</v>
      </c>
      <c r="B58" s="578" t="s">
        <v>780</v>
      </c>
      <c r="C58" s="608">
        <v>852.16</v>
      </c>
      <c r="D58" s="608">
        <v>242.56</v>
      </c>
      <c r="E58" s="608">
        <v>66.19</v>
      </c>
      <c r="F58" s="608">
        <v>119.76</v>
      </c>
      <c r="G58" s="608">
        <v>243.5</v>
      </c>
      <c r="H58" s="608">
        <v>1524.17</v>
      </c>
      <c r="I58" s="603">
        <v>4.3099999999999996</v>
      </c>
      <c r="J58" s="603">
        <v>4.24</v>
      </c>
      <c r="K58" s="603">
        <v>6.59</v>
      </c>
      <c r="L58" s="603">
        <v>6.59</v>
      </c>
      <c r="M58" s="509"/>
      <c r="N58" s="509"/>
      <c r="O58" s="509"/>
    </row>
    <row r="59" spans="1:15" s="488" customFormat="1" ht="12.75" x14ac:dyDescent="0.2">
      <c r="A59" s="578" t="s">
        <v>862</v>
      </c>
      <c r="B59" s="578" t="s">
        <v>780</v>
      </c>
      <c r="C59" s="608">
        <v>766.9</v>
      </c>
      <c r="D59" s="608">
        <v>338.37</v>
      </c>
      <c r="E59" s="608">
        <v>63.14</v>
      </c>
      <c r="F59" s="608">
        <v>139.91999999999999</v>
      </c>
      <c r="G59" s="608">
        <v>270.2</v>
      </c>
      <c r="H59" s="608">
        <v>1578.53</v>
      </c>
      <c r="I59" s="603">
        <v>4.41</v>
      </c>
      <c r="J59" s="603">
        <v>4.55</v>
      </c>
      <c r="K59" s="603">
        <v>6.35</v>
      </c>
      <c r="L59" s="603">
        <v>6.35</v>
      </c>
      <c r="M59" s="509"/>
      <c r="N59" s="509"/>
      <c r="O59" s="509"/>
    </row>
    <row r="60" spans="1:15" s="488" customFormat="1" ht="12.75" x14ac:dyDescent="0.2">
      <c r="A60" s="578" t="s">
        <v>863</v>
      </c>
      <c r="B60" s="578" t="s">
        <v>780</v>
      </c>
      <c r="C60" s="608">
        <v>859.86</v>
      </c>
      <c r="D60" s="608">
        <v>409.85</v>
      </c>
      <c r="E60" s="608">
        <v>38.450000000000003</v>
      </c>
      <c r="F60" s="608">
        <v>179.08</v>
      </c>
      <c r="G60" s="608">
        <v>361.71</v>
      </c>
      <c r="H60" s="608">
        <v>1848.95</v>
      </c>
      <c r="I60" s="603">
        <v>3.09</v>
      </c>
      <c r="J60" s="603">
        <v>2.89</v>
      </c>
      <c r="K60" s="603">
        <v>4.68</v>
      </c>
      <c r="L60" s="603">
        <v>4.68</v>
      </c>
      <c r="M60" s="509"/>
      <c r="N60" s="509"/>
      <c r="O60" s="509"/>
    </row>
    <row r="61" spans="1:15" s="488" customFormat="1" ht="12.75" x14ac:dyDescent="0.2">
      <c r="A61" s="578" t="s">
        <v>864</v>
      </c>
      <c r="B61" s="578" t="s">
        <v>780</v>
      </c>
      <c r="C61" s="608">
        <v>1008.95</v>
      </c>
      <c r="D61" s="608">
        <v>250.3</v>
      </c>
      <c r="E61" s="608">
        <v>73.81</v>
      </c>
      <c r="F61" s="608">
        <v>123.99</v>
      </c>
      <c r="G61" s="608">
        <v>278.75</v>
      </c>
      <c r="H61" s="608">
        <v>1735.8</v>
      </c>
      <c r="I61" s="603">
        <v>6.28</v>
      </c>
      <c r="J61" s="603">
        <v>4.54</v>
      </c>
      <c r="K61" s="603">
        <v>5.32</v>
      </c>
      <c r="L61" s="603">
        <v>5.32</v>
      </c>
      <c r="M61" s="509"/>
      <c r="N61" s="509"/>
      <c r="O61" s="509"/>
    </row>
    <row r="62" spans="1:15" s="488" customFormat="1" ht="12.75" x14ac:dyDescent="0.2">
      <c r="A62" s="572" t="s">
        <v>779</v>
      </c>
      <c r="B62" s="572" t="s">
        <v>780</v>
      </c>
      <c r="C62" s="609">
        <v>1049.3599999999999</v>
      </c>
      <c r="D62" s="609">
        <v>394.61</v>
      </c>
      <c r="E62" s="609">
        <v>52.1</v>
      </c>
      <c r="F62" s="609">
        <v>79.5</v>
      </c>
      <c r="G62" s="609">
        <v>218.75</v>
      </c>
      <c r="H62" s="609">
        <v>1794.32</v>
      </c>
      <c r="I62" s="601">
        <v>7.95</v>
      </c>
      <c r="J62" s="601">
        <v>5.8</v>
      </c>
      <c r="K62" s="601">
        <v>5.48</v>
      </c>
      <c r="L62" s="601">
        <v>5.47</v>
      </c>
      <c r="M62" s="509"/>
      <c r="N62" s="509"/>
      <c r="O62" s="509"/>
    </row>
    <row r="63" spans="1:15" s="488" customFormat="1" ht="12.75" x14ac:dyDescent="0.2">
      <c r="A63" s="572" t="s">
        <v>781</v>
      </c>
      <c r="B63" s="572" t="s">
        <v>780</v>
      </c>
      <c r="C63" s="609">
        <v>628.71</v>
      </c>
      <c r="D63" s="609">
        <v>406.9</v>
      </c>
      <c r="E63" s="609">
        <v>150.63</v>
      </c>
      <c r="F63" s="609">
        <v>188.3</v>
      </c>
      <c r="G63" s="609">
        <v>255.25</v>
      </c>
      <c r="H63" s="609">
        <v>1629.79</v>
      </c>
      <c r="I63" s="601">
        <v>6.26</v>
      </c>
      <c r="J63" s="601">
        <v>6.14</v>
      </c>
      <c r="K63" s="601">
        <v>5.96</v>
      </c>
      <c r="L63" s="601">
        <v>5.95</v>
      </c>
      <c r="M63" s="509"/>
      <c r="N63" s="509"/>
      <c r="O63" s="509"/>
    </row>
    <row r="64" spans="1:15" s="488" customFormat="1" ht="12.75" x14ac:dyDescent="0.2">
      <c r="A64" s="572" t="s">
        <v>782</v>
      </c>
      <c r="B64" s="572" t="s">
        <v>780</v>
      </c>
      <c r="C64" s="609">
        <v>461.52</v>
      </c>
      <c r="D64" s="609">
        <v>356.52</v>
      </c>
      <c r="E64" s="609">
        <v>95.52</v>
      </c>
      <c r="F64" s="609">
        <v>165.41</v>
      </c>
      <c r="G64" s="609">
        <v>422.1</v>
      </c>
      <c r="H64" s="609">
        <v>1501.07</v>
      </c>
      <c r="I64" s="601">
        <v>5.23</v>
      </c>
      <c r="J64" s="601">
        <v>5.2</v>
      </c>
      <c r="K64" s="601">
        <v>6.02</v>
      </c>
      <c r="L64" s="601">
        <v>6.02</v>
      </c>
      <c r="M64" s="509"/>
      <c r="N64" s="509"/>
      <c r="O64" s="509"/>
    </row>
    <row r="65" spans="1:15" s="488" customFormat="1" ht="12.75" x14ac:dyDescent="0.2">
      <c r="A65" s="572" t="s">
        <v>783</v>
      </c>
      <c r="B65" s="572" t="s">
        <v>780</v>
      </c>
      <c r="C65" s="609">
        <v>663.39</v>
      </c>
      <c r="D65" s="609">
        <v>478.11</v>
      </c>
      <c r="E65" s="609">
        <v>151.88</v>
      </c>
      <c r="F65" s="609">
        <v>254.08</v>
      </c>
      <c r="G65" s="609">
        <v>240</v>
      </c>
      <c r="H65" s="609">
        <v>1787.46</v>
      </c>
      <c r="I65" s="601">
        <v>4.29</v>
      </c>
      <c r="J65" s="601">
        <v>4.1500000000000004</v>
      </c>
      <c r="K65" s="601">
        <v>6.22</v>
      </c>
      <c r="L65" s="601">
        <v>6.22</v>
      </c>
      <c r="M65" s="509"/>
      <c r="N65" s="509"/>
      <c r="O65" s="509"/>
    </row>
    <row r="66" spans="1:15" s="488" customFormat="1" ht="12.75" x14ac:dyDescent="0.2">
      <c r="A66" s="578" t="s">
        <v>784</v>
      </c>
      <c r="B66" s="578" t="s">
        <v>780</v>
      </c>
      <c r="C66" s="608">
        <v>1078.3</v>
      </c>
      <c r="D66" s="608">
        <v>496.5</v>
      </c>
      <c r="E66" s="608">
        <v>91.2</v>
      </c>
      <c r="F66" s="608">
        <v>94.5</v>
      </c>
      <c r="G66" s="608">
        <v>352.5</v>
      </c>
      <c r="H66" s="608">
        <v>2113</v>
      </c>
      <c r="I66" s="603">
        <v>6.9</v>
      </c>
      <c r="J66" s="603">
        <v>6.9</v>
      </c>
      <c r="K66" s="603">
        <v>6.4</v>
      </c>
      <c r="L66" s="603">
        <v>6.4</v>
      </c>
      <c r="M66" s="509"/>
      <c r="N66" s="509"/>
      <c r="O66" s="509"/>
    </row>
    <row r="67" spans="1:15" s="488" customFormat="1" ht="12.75" x14ac:dyDescent="0.2">
      <c r="A67" s="578" t="s">
        <v>785</v>
      </c>
      <c r="B67" s="578" t="s">
        <v>780</v>
      </c>
      <c r="C67" s="608">
        <v>1311.3</v>
      </c>
      <c r="D67" s="608">
        <v>504.5</v>
      </c>
      <c r="E67" s="608">
        <v>45.8</v>
      </c>
      <c r="F67" s="608">
        <v>179.2</v>
      </c>
      <c r="G67" s="608">
        <v>236.8</v>
      </c>
      <c r="H67" s="608">
        <v>2277.6</v>
      </c>
      <c r="I67" s="603">
        <v>12.1</v>
      </c>
      <c r="J67" s="603">
        <v>8</v>
      </c>
      <c r="K67" s="603">
        <v>8</v>
      </c>
      <c r="L67" s="603">
        <v>8</v>
      </c>
      <c r="M67" s="509"/>
      <c r="N67" s="509"/>
      <c r="O67" s="509"/>
    </row>
    <row r="68" spans="1:15" s="488" customFormat="1" ht="12.75" x14ac:dyDescent="0.2">
      <c r="A68" s="578" t="s">
        <v>786</v>
      </c>
      <c r="B68" s="578" t="s">
        <v>780</v>
      </c>
      <c r="C68" s="608">
        <v>1371.2</v>
      </c>
      <c r="D68" s="608">
        <v>306.2</v>
      </c>
      <c r="E68" s="608">
        <v>45.4</v>
      </c>
      <c r="F68" s="608">
        <v>99.6</v>
      </c>
      <c r="G68" s="608">
        <v>248.9</v>
      </c>
      <c r="H68" s="608">
        <v>2071.3000000000002</v>
      </c>
      <c r="I68" s="603">
        <v>8.3000000000000007</v>
      </c>
      <c r="J68" s="603">
        <v>7.1</v>
      </c>
      <c r="K68" s="603">
        <v>8.1</v>
      </c>
      <c r="L68" s="603">
        <v>8.1</v>
      </c>
      <c r="M68" s="509"/>
      <c r="N68" s="509"/>
      <c r="O68" s="509"/>
    </row>
    <row r="69" spans="1:15" s="488" customFormat="1" ht="12.75" x14ac:dyDescent="0.2">
      <c r="A69" s="578" t="s">
        <v>787</v>
      </c>
      <c r="B69" s="578" t="s">
        <v>780</v>
      </c>
      <c r="C69" s="608">
        <v>1304.0999999999999</v>
      </c>
      <c r="D69" s="608">
        <v>456.1</v>
      </c>
      <c r="E69" s="608">
        <v>84.4</v>
      </c>
      <c r="F69" s="608">
        <v>123.2</v>
      </c>
      <c r="G69" s="608">
        <v>279.2</v>
      </c>
      <c r="H69" s="608">
        <v>2247</v>
      </c>
      <c r="I69" s="603">
        <v>9.5</v>
      </c>
      <c r="J69" s="603">
        <v>7.8</v>
      </c>
      <c r="K69" s="603">
        <v>7.7</v>
      </c>
      <c r="L69" s="603">
        <v>7.7</v>
      </c>
      <c r="M69" s="509"/>
      <c r="N69" s="509"/>
      <c r="O69" s="509"/>
    </row>
    <row r="70" spans="1:15" s="488" customFormat="1" ht="12.75" x14ac:dyDescent="0.2">
      <c r="A70" s="572" t="s">
        <v>788</v>
      </c>
      <c r="B70" s="572" t="s">
        <v>780</v>
      </c>
      <c r="C70" s="609">
        <v>1340</v>
      </c>
      <c r="D70" s="609">
        <v>608.29999999999995</v>
      </c>
      <c r="E70" s="609">
        <v>174.4</v>
      </c>
      <c r="F70" s="609">
        <v>312.60000000000002</v>
      </c>
      <c r="G70" s="609">
        <v>357.5</v>
      </c>
      <c r="H70" s="609">
        <v>2792.7999999999997</v>
      </c>
      <c r="I70" s="601">
        <v>9</v>
      </c>
      <c r="J70" s="601">
        <v>5.4</v>
      </c>
      <c r="K70" s="601">
        <v>8.1</v>
      </c>
      <c r="L70" s="601">
        <v>8</v>
      </c>
      <c r="M70" s="509"/>
      <c r="N70" s="509"/>
      <c r="O70" s="509"/>
    </row>
    <row r="71" spans="1:15" s="488" customFormat="1" ht="12.75" x14ac:dyDescent="0.2">
      <c r="A71" s="572" t="s">
        <v>789</v>
      </c>
      <c r="B71" s="572" t="s">
        <v>780</v>
      </c>
      <c r="C71" s="609">
        <v>1274.5999999999999</v>
      </c>
      <c r="D71" s="609">
        <v>366.9</v>
      </c>
      <c r="E71" s="609">
        <v>55.8</v>
      </c>
      <c r="F71" s="609">
        <v>123.3</v>
      </c>
      <c r="G71" s="609">
        <v>400.2</v>
      </c>
      <c r="H71" s="609">
        <v>2220.7999999999997</v>
      </c>
      <c r="I71" s="601">
        <v>8.4</v>
      </c>
      <c r="J71" s="601">
        <v>4</v>
      </c>
      <c r="K71" s="601">
        <v>8.4</v>
      </c>
      <c r="L71" s="601">
        <v>8.4</v>
      </c>
      <c r="M71" s="509"/>
      <c r="N71" s="509"/>
      <c r="O71" s="509"/>
    </row>
    <row r="72" spans="1:15" s="488" customFormat="1" ht="12.75" x14ac:dyDescent="0.2">
      <c r="A72" s="572" t="s">
        <v>790</v>
      </c>
      <c r="B72" s="572" t="s">
        <v>780</v>
      </c>
      <c r="C72" s="609">
        <v>539.5</v>
      </c>
      <c r="D72" s="609">
        <v>305</v>
      </c>
      <c r="E72" s="609">
        <v>14.8</v>
      </c>
      <c r="F72" s="609">
        <v>173.8</v>
      </c>
      <c r="G72" s="609">
        <v>510.4</v>
      </c>
      <c r="H72" s="609">
        <v>1543.5</v>
      </c>
      <c r="I72" s="601">
        <v>5</v>
      </c>
      <c r="J72" s="601">
        <v>3.9</v>
      </c>
      <c r="K72" s="601">
        <v>7.8</v>
      </c>
      <c r="L72" s="601">
        <v>7.8</v>
      </c>
      <c r="M72" s="509"/>
      <c r="N72" s="509"/>
      <c r="O72" s="509"/>
    </row>
    <row r="73" spans="1:15" s="488" customFormat="1" ht="12.75" x14ac:dyDescent="0.2">
      <c r="A73" s="572" t="s">
        <v>791</v>
      </c>
      <c r="B73" s="572" t="s">
        <v>780</v>
      </c>
      <c r="C73" s="609">
        <v>564</v>
      </c>
      <c r="D73" s="609">
        <v>333.5</v>
      </c>
      <c r="E73" s="609">
        <v>74.3</v>
      </c>
      <c r="F73" s="609">
        <v>126.6</v>
      </c>
      <c r="G73" s="609">
        <v>370.1</v>
      </c>
      <c r="H73" s="609">
        <v>1468.5</v>
      </c>
      <c r="I73" s="601">
        <v>5.9</v>
      </c>
      <c r="J73" s="601">
        <v>4.3</v>
      </c>
      <c r="K73" s="601">
        <v>6.9</v>
      </c>
      <c r="L73" s="601">
        <v>6.9</v>
      </c>
      <c r="M73" s="509"/>
      <c r="N73" s="509"/>
      <c r="O73" s="509"/>
    </row>
    <row r="74" spans="1:15" s="488" customFormat="1" ht="12.75" x14ac:dyDescent="0.2">
      <c r="A74" s="578" t="s">
        <v>792</v>
      </c>
      <c r="B74" s="578" t="s">
        <v>780</v>
      </c>
      <c r="C74" s="608">
        <v>435.1</v>
      </c>
      <c r="D74" s="608">
        <v>358.5</v>
      </c>
      <c r="E74" s="608">
        <v>178.5</v>
      </c>
      <c r="F74" s="608">
        <v>103.2</v>
      </c>
      <c r="G74" s="608">
        <v>433.9</v>
      </c>
      <c r="H74" s="608">
        <v>1509.1999999999998</v>
      </c>
      <c r="I74" s="603">
        <v>6.2</v>
      </c>
      <c r="J74" s="603">
        <v>6.2</v>
      </c>
      <c r="K74" s="603">
        <v>6</v>
      </c>
      <c r="L74" s="603">
        <v>6</v>
      </c>
      <c r="M74" s="509"/>
      <c r="N74" s="509"/>
      <c r="O74" s="509"/>
    </row>
    <row r="75" spans="1:15" s="488" customFormat="1" ht="12.75" x14ac:dyDescent="0.2">
      <c r="A75" s="578" t="s">
        <v>793</v>
      </c>
      <c r="B75" s="578" t="s">
        <v>780</v>
      </c>
      <c r="C75" s="608">
        <v>479.1</v>
      </c>
      <c r="D75" s="608">
        <v>625.5</v>
      </c>
      <c r="E75" s="608">
        <v>95.5</v>
      </c>
      <c r="F75" s="608">
        <v>179.6</v>
      </c>
      <c r="G75" s="608">
        <v>458</v>
      </c>
      <c r="H75" s="608">
        <v>1837.6999999999998</v>
      </c>
      <c r="I75" s="603">
        <v>6</v>
      </c>
      <c r="J75" s="603">
        <v>5</v>
      </c>
      <c r="K75" s="603">
        <v>5.9</v>
      </c>
      <c r="L75" s="603">
        <v>5.9</v>
      </c>
      <c r="M75" s="509"/>
      <c r="N75" s="509"/>
      <c r="O75" s="509"/>
    </row>
    <row r="76" spans="1:15" s="488" customFormat="1" ht="12.75" x14ac:dyDescent="0.2">
      <c r="A76" s="578" t="s">
        <v>794</v>
      </c>
      <c r="B76" s="578" t="s">
        <v>780</v>
      </c>
      <c r="C76" s="608">
        <v>456.9</v>
      </c>
      <c r="D76" s="608">
        <v>405.8</v>
      </c>
      <c r="E76" s="608">
        <v>166.9</v>
      </c>
      <c r="F76" s="608">
        <v>92.6</v>
      </c>
      <c r="G76" s="608">
        <v>509.4</v>
      </c>
      <c r="H76" s="608">
        <v>1631.6</v>
      </c>
      <c r="I76" s="603">
        <v>6</v>
      </c>
      <c r="J76" s="603">
        <v>5.4</v>
      </c>
      <c r="K76" s="603">
        <v>5.8</v>
      </c>
      <c r="L76" s="603">
        <v>5.8</v>
      </c>
      <c r="M76" s="509"/>
      <c r="N76" s="509"/>
      <c r="O76" s="509"/>
    </row>
    <row r="77" spans="1:15" s="488" customFormat="1" ht="12.75" x14ac:dyDescent="0.2">
      <c r="A77" s="578" t="s">
        <v>795</v>
      </c>
      <c r="B77" s="578" t="s">
        <v>780</v>
      </c>
      <c r="C77" s="608">
        <v>435.6</v>
      </c>
      <c r="D77" s="608">
        <v>528.1</v>
      </c>
      <c r="E77" s="608">
        <v>173.6</v>
      </c>
      <c r="F77" s="608">
        <v>197.4</v>
      </c>
      <c r="G77" s="608">
        <v>318.89999999999998</v>
      </c>
      <c r="H77" s="608">
        <v>1653.6</v>
      </c>
      <c r="I77" s="603">
        <v>6.2</v>
      </c>
      <c r="J77" s="603">
        <v>6.6</v>
      </c>
      <c r="K77" s="603">
        <v>7</v>
      </c>
      <c r="L77" s="603">
        <v>7</v>
      </c>
      <c r="M77" s="509"/>
      <c r="N77" s="509"/>
      <c r="O77" s="509"/>
    </row>
    <row r="78" spans="1:15" s="488" customFormat="1" ht="12.75" x14ac:dyDescent="0.2">
      <c r="A78" s="572" t="s">
        <v>796</v>
      </c>
      <c r="B78" s="572" t="s">
        <v>780</v>
      </c>
      <c r="C78" s="609">
        <v>530.5</v>
      </c>
      <c r="D78" s="609">
        <v>718.8</v>
      </c>
      <c r="E78" s="609">
        <v>46.9</v>
      </c>
      <c r="F78" s="609">
        <v>157.30000000000001</v>
      </c>
      <c r="G78" s="609">
        <v>527.4</v>
      </c>
      <c r="H78" s="609">
        <v>1980.9</v>
      </c>
      <c r="I78" s="601">
        <v>6.2</v>
      </c>
      <c r="J78" s="601">
        <v>6.4</v>
      </c>
      <c r="K78" s="601">
        <v>5.5</v>
      </c>
      <c r="L78" s="601">
        <v>7</v>
      </c>
      <c r="M78" s="509"/>
      <c r="N78" s="509"/>
      <c r="O78" s="509"/>
    </row>
    <row r="79" spans="1:15" s="488" customFormat="1" ht="12.75" x14ac:dyDescent="0.2">
      <c r="A79" s="572" t="s">
        <v>797</v>
      </c>
      <c r="B79" s="572" t="s">
        <v>780</v>
      </c>
      <c r="C79" s="609">
        <v>419.6</v>
      </c>
      <c r="D79" s="609">
        <v>713.8</v>
      </c>
      <c r="E79" s="609">
        <v>96.8</v>
      </c>
      <c r="F79" s="609">
        <v>189.7</v>
      </c>
      <c r="G79" s="609">
        <v>529.9</v>
      </c>
      <c r="H79" s="609">
        <v>1949.8000000000002</v>
      </c>
      <c r="I79" s="601">
        <v>5.8</v>
      </c>
      <c r="J79" s="601">
        <v>5.8</v>
      </c>
      <c r="K79" s="601">
        <v>5</v>
      </c>
      <c r="L79" s="601">
        <v>6.1</v>
      </c>
      <c r="M79" s="509"/>
      <c r="N79" s="509"/>
      <c r="O79" s="509"/>
    </row>
    <row r="80" spans="1:15" s="488" customFormat="1" ht="12.75" x14ac:dyDescent="0.2">
      <c r="A80" s="572" t="s">
        <v>798</v>
      </c>
      <c r="B80" s="572" t="s">
        <v>780</v>
      </c>
      <c r="C80" s="609">
        <v>618.5</v>
      </c>
      <c r="D80" s="609">
        <v>773.6</v>
      </c>
      <c r="E80" s="609">
        <v>117.5</v>
      </c>
      <c r="F80" s="609">
        <v>131.5</v>
      </c>
      <c r="G80" s="609">
        <v>485.3</v>
      </c>
      <c r="H80" s="609">
        <v>2126.4</v>
      </c>
      <c r="I80" s="601">
        <v>3.7</v>
      </c>
      <c r="J80" s="601">
        <v>3.6</v>
      </c>
      <c r="K80" s="601">
        <v>4.7</v>
      </c>
      <c r="L80" s="601">
        <v>5.6</v>
      </c>
      <c r="M80" s="509"/>
      <c r="N80" s="509"/>
      <c r="O80" s="509"/>
    </row>
    <row r="81" spans="1:21" s="488" customFormat="1" ht="12.75" x14ac:dyDescent="0.2">
      <c r="A81" s="572" t="s">
        <v>799</v>
      </c>
      <c r="B81" s="572" t="s">
        <v>780</v>
      </c>
      <c r="C81" s="609">
        <v>497.5</v>
      </c>
      <c r="D81" s="609">
        <v>545.6</v>
      </c>
      <c r="E81" s="609">
        <v>143.1</v>
      </c>
      <c r="F81" s="609">
        <v>125.3</v>
      </c>
      <c r="G81" s="609">
        <v>365.5</v>
      </c>
      <c r="H81" s="609">
        <v>1676.9999999999998</v>
      </c>
      <c r="I81" s="601">
        <v>3.5</v>
      </c>
      <c r="J81" s="601">
        <v>3.6</v>
      </c>
      <c r="K81" s="601">
        <v>4.9000000000000004</v>
      </c>
      <c r="L81" s="601">
        <v>5.6</v>
      </c>
      <c r="M81" s="509"/>
      <c r="N81" s="509"/>
      <c r="O81" s="509"/>
    </row>
    <row r="82" spans="1:21" s="488" customFormat="1" ht="12.75" x14ac:dyDescent="0.2">
      <c r="A82" s="578" t="s">
        <v>800</v>
      </c>
      <c r="B82" s="578" t="s">
        <v>780</v>
      </c>
      <c r="C82" s="608">
        <v>683.2</v>
      </c>
      <c r="D82" s="608">
        <v>531</v>
      </c>
      <c r="E82" s="608">
        <v>170</v>
      </c>
      <c r="F82" s="608">
        <v>298.8</v>
      </c>
      <c r="G82" s="608">
        <v>277.5</v>
      </c>
      <c r="H82" s="608">
        <v>1960.5</v>
      </c>
      <c r="I82" s="603">
        <v>2.9</v>
      </c>
      <c r="J82" s="603">
        <v>3</v>
      </c>
      <c r="K82" s="603">
        <v>5</v>
      </c>
      <c r="L82" s="603">
        <v>5.8</v>
      </c>
      <c r="M82" s="509"/>
      <c r="N82" s="509"/>
      <c r="O82" s="509"/>
    </row>
    <row r="83" spans="1:21" s="488" customFormat="1" ht="12.75" x14ac:dyDescent="0.2">
      <c r="A83" s="578" t="s">
        <v>801</v>
      </c>
      <c r="B83" s="578" t="s">
        <v>780</v>
      </c>
      <c r="C83" s="608">
        <v>612.6</v>
      </c>
      <c r="D83" s="608">
        <v>657</v>
      </c>
      <c r="E83" s="608">
        <v>179.1</v>
      </c>
      <c r="F83" s="608">
        <v>112.3</v>
      </c>
      <c r="G83" s="608">
        <v>387.3</v>
      </c>
      <c r="H83" s="608">
        <v>1948.2999999999997</v>
      </c>
      <c r="I83" s="603">
        <v>2.2999999999999998</v>
      </c>
      <c r="J83" s="603">
        <v>2.2000000000000002</v>
      </c>
      <c r="K83" s="603">
        <v>5.0999999999999996</v>
      </c>
      <c r="L83" s="603">
        <v>6</v>
      </c>
      <c r="M83" s="509"/>
      <c r="N83" s="509"/>
      <c r="O83" s="509"/>
    </row>
    <row r="84" spans="1:21" s="488" customFormat="1" ht="12.75" x14ac:dyDescent="0.2">
      <c r="A84" s="578" t="s">
        <v>802</v>
      </c>
      <c r="B84" s="578" t="s">
        <v>780</v>
      </c>
      <c r="C84" s="608">
        <v>464.7</v>
      </c>
      <c r="D84" s="608">
        <v>604.9</v>
      </c>
      <c r="E84" s="608">
        <v>269.39999999999998</v>
      </c>
      <c r="F84" s="608">
        <v>175.5</v>
      </c>
      <c r="G84" s="608">
        <v>300.89999999999998</v>
      </c>
      <c r="H84" s="608">
        <v>1815.4</v>
      </c>
      <c r="I84" s="603">
        <v>0.3</v>
      </c>
      <c r="J84" s="603">
        <v>0.6</v>
      </c>
      <c r="K84" s="603">
        <v>4</v>
      </c>
      <c r="L84" s="603">
        <v>4.4000000000000004</v>
      </c>
      <c r="M84" s="509"/>
      <c r="N84" s="509"/>
      <c r="O84" s="509"/>
    </row>
    <row r="85" spans="1:21" s="488" customFormat="1" ht="12.75" x14ac:dyDescent="0.2">
      <c r="A85" s="578" t="s">
        <v>803</v>
      </c>
      <c r="B85" s="578" t="s">
        <v>780</v>
      </c>
      <c r="C85" s="608">
        <v>793</v>
      </c>
      <c r="D85" s="608">
        <v>596.5</v>
      </c>
      <c r="E85" s="608">
        <v>287</v>
      </c>
      <c r="F85" s="608">
        <v>237.1</v>
      </c>
      <c r="G85" s="608">
        <v>326.2</v>
      </c>
      <c r="H85" s="608">
        <v>2239.7999999999997</v>
      </c>
      <c r="I85" s="603">
        <v>0.2</v>
      </c>
      <c r="J85" s="603">
        <v>0</v>
      </c>
      <c r="K85" s="603">
        <v>3.9</v>
      </c>
      <c r="L85" s="603">
        <v>4.4000000000000004</v>
      </c>
      <c r="M85" s="509"/>
      <c r="N85" s="509"/>
      <c r="O85" s="509"/>
    </row>
    <row r="86" spans="1:21" s="488" customFormat="1" ht="12.75" x14ac:dyDescent="0.2">
      <c r="A86" s="572" t="s">
        <v>804</v>
      </c>
      <c r="B86" s="572" t="s">
        <v>780</v>
      </c>
      <c r="C86" s="609">
        <v>962.3</v>
      </c>
      <c r="D86" s="609">
        <v>808</v>
      </c>
      <c r="E86" s="609">
        <v>198.4</v>
      </c>
      <c r="F86" s="609">
        <v>54.2</v>
      </c>
      <c r="G86" s="609">
        <v>169.4</v>
      </c>
      <c r="H86" s="609">
        <v>2192.3000000000002</v>
      </c>
      <c r="I86" s="601">
        <v>2.7</v>
      </c>
      <c r="J86" s="601">
        <v>2.9</v>
      </c>
      <c r="K86" s="601">
        <v>4</v>
      </c>
      <c r="L86" s="601">
        <v>4.5999999999999996</v>
      </c>
      <c r="M86" s="509"/>
      <c r="N86" s="509"/>
      <c r="O86" s="509"/>
    </row>
    <row r="87" spans="1:21" s="488" customFormat="1" ht="12.75" x14ac:dyDescent="0.2">
      <c r="A87" s="572" t="s">
        <v>805</v>
      </c>
      <c r="B87" s="572" t="s">
        <v>780</v>
      </c>
      <c r="C87" s="609">
        <v>714.3</v>
      </c>
      <c r="D87" s="609">
        <v>652.79999999999995</v>
      </c>
      <c r="E87" s="609">
        <v>158.5</v>
      </c>
      <c r="F87" s="609">
        <v>84</v>
      </c>
      <c r="G87" s="609">
        <v>136.4</v>
      </c>
      <c r="H87" s="609">
        <v>1746</v>
      </c>
      <c r="I87" s="601">
        <v>7.9</v>
      </c>
      <c r="J87" s="601">
        <v>6.2</v>
      </c>
      <c r="K87" s="601">
        <v>4.0999999999999996</v>
      </c>
      <c r="L87" s="601">
        <v>5</v>
      </c>
      <c r="M87" s="509"/>
      <c r="N87" s="509"/>
      <c r="O87" s="509"/>
    </row>
    <row r="88" spans="1:21" s="488" customFormat="1" ht="12.75" x14ac:dyDescent="0.2">
      <c r="A88" s="572" t="s">
        <v>806</v>
      </c>
      <c r="B88" s="572" t="s">
        <v>780</v>
      </c>
      <c r="C88" s="609">
        <v>431.3</v>
      </c>
      <c r="D88" s="609">
        <v>220.9</v>
      </c>
      <c r="E88" s="609">
        <v>116.5</v>
      </c>
      <c r="F88" s="609">
        <v>115.5</v>
      </c>
      <c r="G88" s="609">
        <v>157</v>
      </c>
      <c r="H88" s="609">
        <v>1041.2</v>
      </c>
      <c r="I88" s="601">
        <v>4.2</v>
      </c>
      <c r="J88" s="601">
        <v>3.5</v>
      </c>
      <c r="K88" s="601">
        <v>4.8</v>
      </c>
      <c r="L88" s="601">
        <v>5.5</v>
      </c>
      <c r="M88" s="509"/>
      <c r="N88" s="509"/>
      <c r="O88" s="509"/>
    </row>
    <row r="89" spans="1:21" s="488" customFormat="1" ht="12.75" x14ac:dyDescent="0.2">
      <c r="A89" s="572" t="s">
        <v>807</v>
      </c>
      <c r="B89" s="572" t="s">
        <v>780</v>
      </c>
      <c r="C89" s="609">
        <v>741.4</v>
      </c>
      <c r="D89" s="609">
        <v>217.8</v>
      </c>
      <c r="E89" s="609">
        <v>45</v>
      </c>
      <c r="F89" s="609">
        <v>213.3</v>
      </c>
      <c r="G89" s="609">
        <v>111.5</v>
      </c>
      <c r="H89" s="609">
        <v>1329</v>
      </c>
      <c r="I89" s="601">
        <v>12.4</v>
      </c>
      <c r="J89" s="601">
        <v>8.6</v>
      </c>
      <c r="K89" s="601">
        <v>5.2</v>
      </c>
      <c r="L89" s="601">
        <v>7.5</v>
      </c>
      <c r="M89" s="509"/>
      <c r="N89" s="509"/>
      <c r="O89" s="509"/>
    </row>
    <row r="90" spans="1:21" s="488" customFormat="1" ht="12.75" x14ac:dyDescent="0.2">
      <c r="A90" s="578" t="s">
        <v>808</v>
      </c>
      <c r="B90" s="578" t="s">
        <v>780</v>
      </c>
      <c r="C90" s="608">
        <v>561.5</v>
      </c>
      <c r="D90" s="608">
        <v>415.1</v>
      </c>
      <c r="E90" s="608">
        <v>231</v>
      </c>
      <c r="F90" s="608">
        <v>80.069999999999993</v>
      </c>
      <c r="G90" s="608">
        <v>28.75</v>
      </c>
      <c r="H90" s="608">
        <v>1316.4199999999998</v>
      </c>
      <c r="I90" s="603">
        <v>-12.411703750042239</v>
      </c>
      <c r="J90" s="603">
        <v>-23.391216315288361</v>
      </c>
      <c r="K90" s="603">
        <v>5.8065548726514731</v>
      </c>
      <c r="L90" s="603">
        <v>8.8533366627149039</v>
      </c>
      <c r="M90" s="509"/>
      <c r="N90" s="509"/>
      <c r="O90" s="509"/>
    </row>
    <row r="91" spans="1:21" s="488" customFormat="1" ht="12.75" x14ac:dyDescent="0.2">
      <c r="A91" s="578" t="s">
        <v>809</v>
      </c>
      <c r="B91" s="578" t="s">
        <v>780</v>
      </c>
      <c r="C91" s="608">
        <v>322.65000000000003</v>
      </c>
      <c r="D91" s="608">
        <v>58.65</v>
      </c>
      <c r="E91" s="608">
        <v>21.5</v>
      </c>
      <c r="F91" s="608">
        <v>6.17</v>
      </c>
      <c r="G91" s="608">
        <v>2</v>
      </c>
      <c r="H91" s="608">
        <v>410.97</v>
      </c>
      <c r="I91" s="603">
        <v>0.6978405998374736</v>
      </c>
      <c r="J91" s="603">
        <v>-4.9646982420277146</v>
      </c>
      <c r="K91" s="603">
        <v>11.377770661909498</v>
      </c>
      <c r="L91" s="603">
        <v>19.993884178479707</v>
      </c>
      <c r="M91" s="509"/>
      <c r="N91" s="509"/>
      <c r="O91" s="509"/>
    </row>
    <row r="92" spans="1:21" s="488" customFormat="1" ht="12.75" x14ac:dyDescent="0.2">
      <c r="A92" s="578" t="s">
        <v>810</v>
      </c>
      <c r="B92" s="578" t="s">
        <v>780</v>
      </c>
      <c r="C92" s="608">
        <v>1036.08</v>
      </c>
      <c r="D92" s="608">
        <v>151.85</v>
      </c>
      <c r="E92" s="608">
        <v>23.729999999999997</v>
      </c>
      <c r="F92" s="608">
        <v>35.1</v>
      </c>
      <c r="G92" s="608">
        <v>11.23</v>
      </c>
      <c r="H92" s="608">
        <v>1257.9899999999998</v>
      </c>
      <c r="I92" s="603">
        <v>5.4075454557175409</v>
      </c>
      <c r="J92" s="603">
        <v>0.41032958477745179</v>
      </c>
      <c r="K92" s="603">
        <v>3.3302880686028487</v>
      </c>
      <c r="L92" s="603">
        <v>27.280532160470745</v>
      </c>
      <c r="M92" s="509"/>
      <c r="N92" s="509"/>
      <c r="O92" s="509"/>
      <c r="P92" s="509"/>
      <c r="Q92" s="509"/>
      <c r="R92" s="509"/>
      <c r="S92" s="509"/>
      <c r="T92" s="509"/>
      <c r="U92" s="509"/>
    </row>
    <row r="93" spans="1:21" s="488" customFormat="1" ht="12.75" x14ac:dyDescent="0.2">
      <c r="A93" s="578" t="s">
        <v>811</v>
      </c>
      <c r="B93" s="578" t="s">
        <v>780</v>
      </c>
      <c r="C93" s="608">
        <v>856.08999999999992</v>
      </c>
      <c r="D93" s="608">
        <v>164.55</v>
      </c>
      <c r="E93" s="608">
        <v>59</v>
      </c>
      <c r="F93" s="608">
        <v>22</v>
      </c>
      <c r="G93" s="608">
        <v>4</v>
      </c>
      <c r="H93" s="608">
        <v>1105.6399999999999</v>
      </c>
      <c r="I93" s="603">
        <v>6.0496859270600334</v>
      </c>
      <c r="J93" s="603">
        <v>3.4117750335413124</v>
      </c>
      <c r="K93" s="603">
        <v>4.6666239692154177</v>
      </c>
      <c r="L93" s="603">
        <v>28.038649616905982</v>
      </c>
      <c r="M93" s="509"/>
      <c r="N93" s="509"/>
      <c r="O93" s="509"/>
      <c r="P93" s="509"/>
      <c r="Q93" s="509"/>
      <c r="R93" s="509"/>
      <c r="S93" s="509"/>
      <c r="T93" s="509"/>
      <c r="U93" s="509"/>
    </row>
    <row r="94" spans="1:21" s="488" customFormat="1" ht="12.75" x14ac:dyDescent="0.2">
      <c r="A94" s="572" t="s">
        <v>812</v>
      </c>
      <c r="B94" s="572" t="s">
        <v>780</v>
      </c>
      <c r="C94" s="609">
        <v>946.59</v>
      </c>
      <c r="D94" s="609">
        <v>397.26</v>
      </c>
      <c r="E94" s="609">
        <v>63</v>
      </c>
      <c r="F94" s="609">
        <v>119.25</v>
      </c>
      <c r="G94" s="609">
        <v>26.5</v>
      </c>
      <c r="H94" s="609">
        <v>1552.6</v>
      </c>
      <c r="I94" s="601">
        <v>10.262287624657736</v>
      </c>
      <c r="J94" s="601">
        <v>13.128474269749429</v>
      </c>
      <c r="K94" s="601">
        <v>9.5339710167269303</v>
      </c>
      <c r="L94" s="601">
        <v>24.23883385260913</v>
      </c>
      <c r="M94" s="509"/>
      <c r="N94" s="509"/>
      <c r="O94" s="509"/>
      <c r="P94" s="509"/>
      <c r="Q94" s="509"/>
      <c r="R94" s="509"/>
      <c r="S94" s="509"/>
      <c r="T94" s="509"/>
      <c r="U94" s="509"/>
    </row>
    <row r="95" spans="1:21" s="488" customFormat="1" ht="12.75" x14ac:dyDescent="0.2">
      <c r="A95" s="572" t="s">
        <v>813</v>
      </c>
      <c r="B95" s="572" t="s">
        <v>780</v>
      </c>
      <c r="C95" s="609">
        <v>435.93</v>
      </c>
      <c r="D95" s="609">
        <v>452.7</v>
      </c>
      <c r="E95" s="609">
        <v>47.3</v>
      </c>
      <c r="F95" s="609">
        <v>112.75</v>
      </c>
      <c r="G95" s="609">
        <v>24.85</v>
      </c>
      <c r="H95" s="609">
        <v>1073.5299999999997</v>
      </c>
      <c r="I95" s="601">
        <v>14.449504573622448</v>
      </c>
      <c r="J95" s="601">
        <v>16.502291623437731</v>
      </c>
      <c r="K95" s="601">
        <v>8.6504089237311188</v>
      </c>
      <c r="L95" s="601">
        <v>19.166325099427731</v>
      </c>
      <c r="M95" s="509"/>
      <c r="N95" s="509"/>
      <c r="O95" s="509"/>
      <c r="P95" s="509"/>
      <c r="Q95" s="509"/>
      <c r="R95" s="509"/>
      <c r="S95" s="509"/>
      <c r="T95" s="509"/>
      <c r="U95" s="509"/>
    </row>
    <row r="96" spans="1:21" s="488" customFormat="1" ht="12.75" x14ac:dyDescent="0.2">
      <c r="A96" s="572" t="s">
        <v>814</v>
      </c>
      <c r="B96" s="572" t="s">
        <v>780</v>
      </c>
      <c r="C96" s="609">
        <v>486.15999999999997</v>
      </c>
      <c r="D96" s="609">
        <v>717.6</v>
      </c>
      <c r="E96" s="609">
        <v>100.12</v>
      </c>
      <c r="F96" s="609">
        <v>115.2</v>
      </c>
      <c r="G96" s="609">
        <v>13.89</v>
      </c>
      <c r="H96" s="609">
        <v>1432.9700000000003</v>
      </c>
      <c r="I96" s="601">
        <v>11.639837394593899</v>
      </c>
      <c r="J96" s="601">
        <v>8.9672902298813177</v>
      </c>
      <c r="K96" s="601">
        <v>5.0811334078947219</v>
      </c>
      <c r="L96" s="601">
        <v>12.986952560179256</v>
      </c>
      <c r="M96" s="509"/>
      <c r="N96" s="509"/>
      <c r="O96" s="509"/>
      <c r="P96" s="509"/>
      <c r="Q96" s="509"/>
      <c r="R96" s="509"/>
      <c r="S96" s="509"/>
      <c r="T96" s="509"/>
      <c r="U96" s="509"/>
    </row>
    <row r="97" spans="1:23" s="488" customFormat="1" ht="12.75" x14ac:dyDescent="0.2">
      <c r="A97" s="572" t="s">
        <v>815</v>
      </c>
      <c r="B97" s="572" t="s">
        <v>780</v>
      </c>
      <c r="C97" s="609">
        <v>634.75999999999988</v>
      </c>
      <c r="D97" s="609">
        <v>680.74</v>
      </c>
      <c r="E97" s="609">
        <v>133.72</v>
      </c>
      <c r="F97" s="609">
        <v>119.58</v>
      </c>
      <c r="G97" s="609">
        <v>53.24</v>
      </c>
      <c r="H97" s="609">
        <v>1622.04</v>
      </c>
      <c r="I97" s="601">
        <v>8.0585756420328867</v>
      </c>
      <c r="J97" s="601">
        <v>7.9697763066915686</v>
      </c>
      <c r="K97" s="601">
        <v>3.4949215317993163</v>
      </c>
      <c r="L97" s="601">
        <v>9.8564335862704233</v>
      </c>
      <c r="M97" s="509"/>
      <c r="N97" s="509"/>
      <c r="O97" s="509"/>
      <c r="P97" s="509"/>
      <c r="Q97" s="509"/>
      <c r="R97" s="509"/>
      <c r="S97" s="509"/>
      <c r="T97" s="509"/>
      <c r="U97" s="509"/>
    </row>
    <row r="98" spans="1:23" s="488" customFormat="1" ht="12.75" x14ac:dyDescent="0.2">
      <c r="A98" s="578" t="s">
        <v>816</v>
      </c>
      <c r="B98" s="578" t="s">
        <v>780</v>
      </c>
      <c r="C98" s="608">
        <v>458.73000000000008</v>
      </c>
      <c r="D98" s="608">
        <v>723.21999999999991</v>
      </c>
      <c r="E98" s="608">
        <v>122.27000000000001</v>
      </c>
      <c r="F98" s="608">
        <v>148.51</v>
      </c>
      <c r="G98" s="608">
        <v>98.79</v>
      </c>
      <c r="H98" s="610">
        <v>1551.52</v>
      </c>
      <c r="I98" s="603">
        <v>3.7343978012376251</v>
      </c>
      <c r="J98" s="603">
        <v>4.1997491859336185</v>
      </c>
      <c r="K98" s="603">
        <v>2.8721077144567007</v>
      </c>
      <c r="L98" s="603">
        <v>6.1341459744018056</v>
      </c>
      <c r="M98" s="509"/>
      <c r="N98" s="509"/>
      <c r="O98" s="509"/>
      <c r="P98" s="509"/>
      <c r="Q98" s="509"/>
      <c r="R98" s="509"/>
      <c r="S98" s="509"/>
      <c r="T98" s="509"/>
      <c r="U98" s="509"/>
    </row>
    <row r="99" spans="1:23" s="488" customFormat="1" ht="12.75" x14ac:dyDescent="0.2">
      <c r="A99" s="578" t="s">
        <v>817</v>
      </c>
      <c r="B99" s="578" t="s">
        <v>780</v>
      </c>
      <c r="C99" s="608">
        <v>269.70000000000005</v>
      </c>
      <c r="D99" s="608">
        <v>514.67999999999995</v>
      </c>
      <c r="E99" s="608">
        <v>124.01</v>
      </c>
      <c r="F99" s="608">
        <v>142.05000000000001</v>
      </c>
      <c r="G99" s="608">
        <v>72.8</v>
      </c>
      <c r="H99" s="608">
        <v>1123.24</v>
      </c>
      <c r="I99" s="603">
        <v>2.1804801852446136</v>
      </c>
      <c r="J99" s="603">
        <v>1.982033207428533</v>
      </c>
      <c r="K99" s="603">
        <v>2.4561535508585424</v>
      </c>
      <c r="L99" s="603">
        <v>3.9527415993005288</v>
      </c>
      <c r="M99" s="509"/>
      <c r="N99" s="509"/>
      <c r="O99" s="509"/>
      <c r="P99" s="509"/>
      <c r="Q99" s="509"/>
      <c r="R99" s="509"/>
      <c r="S99" s="509"/>
      <c r="T99" s="509"/>
      <c r="U99" s="509"/>
    </row>
    <row r="100" spans="1:23" s="488" customFormat="1" ht="12.75" x14ac:dyDescent="0.2">
      <c r="A100" s="578" t="s">
        <v>818</v>
      </c>
      <c r="B100" s="578" t="s">
        <v>780</v>
      </c>
      <c r="C100" s="608">
        <v>199.85</v>
      </c>
      <c r="D100" s="608">
        <v>455.13</v>
      </c>
      <c r="E100" s="608">
        <v>160.88999999999999</v>
      </c>
      <c r="F100" s="608">
        <v>160.04000000000002</v>
      </c>
      <c r="G100" s="608">
        <v>44.4</v>
      </c>
      <c r="H100" s="608">
        <v>1020.3100000000001</v>
      </c>
      <c r="I100" s="603">
        <v>2.7482399092691456</v>
      </c>
      <c r="J100" s="603">
        <v>2.973427250185821</v>
      </c>
      <c r="K100" s="603">
        <v>3.3583778978149237</v>
      </c>
      <c r="L100" s="603">
        <v>4.346214298643293</v>
      </c>
      <c r="M100" s="509"/>
      <c r="N100" s="509"/>
      <c r="O100" s="509"/>
      <c r="P100" s="509"/>
      <c r="Q100" s="509"/>
      <c r="R100" s="509"/>
      <c r="S100" s="509"/>
      <c r="T100" s="509"/>
      <c r="U100" s="509"/>
    </row>
    <row r="101" spans="1:23" s="488" customFormat="1" ht="12.75" x14ac:dyDescent="0.2">
      <c r="A101" s="578" t="s">
        <v>819</v>
      </c>
      <c r="B101" s="578" t="s">
        <v>780</v>
      </c>
      <c r="C101" s="608">
        <v>348.91999999999996</v>
      </c>
      <c r="D101" s="608">
        <v>384</v>
      </c>
      <c r="E101" s="608">
        <v>286.94</v>
      </c>
      <c r="F101" s="608">
        <v>218.65</v>
      </c>
      <c r="G101" s="608">
        <v>89.65</v>
      </c>
      <c r="H101" s="608">
        <v>1328.16</v>
      </c>
      <c r="I101" s="603">
        <v>2.8587708830813798</v>
      </c>
      <c r="J101" s="603">
        <v>2.2545594595780054</v>
      </c>
      <c r="K101" s="603">
        <v>2.7449401089354439</v>
      </c>
      <c r="L101" s="603">
        <v>4.3546512301462856</v>
      </c>
      <c r="M101" s="509"/>
      <c r="N101" s="509"/>
      <c r="O101" s="509"/>
      <c r="P101" s="509"/>
      <c r="Q101" s="509"/>
      <c r="R101" s="509"/>
      <c r="S101" s="509"/>
      <c r="T101" s="509"/>
      <c r="U101" s="509"/>
    </row>
    <row r="102" spans="1:23" s="488" customFormat="1" ht="12.75" x14ac:dyDescent="0.2">
      <c r="A102" s="572" t="s">
        <v>900</v>
      </c>
      <c r="B102" s="572" t="s">
        <v>780</v>
      </c>
      <c r="C102" s="609">
        <v>412.70999999999992</v>
      </c>
      <c r="D102" s="609">
        <v>651.32999999999993</v>
      </c>
      <c r="E102" s="609">
        <v>121.34</v>
      </c>
      <c r="F102" s="609">
        <v>210.96</v>
      </c>
      <c r="G102" s="609">
        <v>38.47</v>
      </c>
      <c r="H102" s="609">
        <v>1434.81</v>
      </c>
      <c r="I102" s="601">
        <v>2.1443532712533515</v>
      </c>
      <c r="J102" s="601">
        <v>2.1248721710091529</v>
      </c>
      <c r="K102" s="601">
        <v>2.81141413117233</v>
      </c>
      <c r="L102" s="601">
        <v>3.3366215751042141</v>
      </c>
      <c r="M102" s="509"/>
      <c r="N102" s="509"/>
      <c r="O102" s="509"/>
      <c r="P102" s="509"/>
      <c r="Q102" s="509"/>
      <c r="R102" s="509"/>
      <c r="S102" s="509"/>
      <c r="T102" s="509"/>
      <c r="U102" s="509"/>
      <c r="V102" s="509"/>
      <c r="W102" s="509"/>
    </row>
    <row r="103" spans="1:23" s="488" customFormat="1" ht="12.75" x14ac:dyDescent="0.2">
      <c r="A103" s="572" t="s">
        <v>901</v>
      </c>
      <c r="B103" s="572" t="s">
        <v>780</v>
      </c>
      <c r="C103" s="609">
        <v>476.77</v>
      </c>
      <c r="D103" s="609">
        <v>544.92999999999995</v>
      </c>
      <c r="E103" s="609">
        <v>199.85</v>
      </c>
      <c r="F103" s="609">
        <v>367.72999999999996</v>
      </c>
      <c r="G103" s="609">
        <v>112.1</v>
      </c>
      <c r="H103" s="609">
        <v>1701.3799999999999</v>
      </c>
      <c r="I103" s="601">
        <v>2.4854192914290065</v>
      </c>
      <c r="J103" s="601">
        <v>2.167873959434917</v>
      </c>
      <c r="K103" s="601">
        <v>2.7333253777492859</v>
      </c>
      <c r="L103" s="601">
        <v>3.2014400395790066</v>
      </c>
      <c r="M103" s="509"/>
      <c r="N103" s="509"/>
      <c r="O103" s="509"/>
      <c r="P103" s="509"/>
      <c r="Q103" s="509"/>
      <c r="R103" s="509"/>
      <c r="S103" s="509"/>
      <c r="T103" s="509"/>
      <c r="U103" s="509"/>
      <c r="V103" s="509"/>
      <c r="W103" s="509"/>
    </row>
    <row r="104" spans="1:23" s="488" customFormat="1" ht="12.75" x14ac:dyDescent="0.2">
      <c r="A104" s="572" t="s">
        <v>902</v>
      </c>
      <c r="B104" s="572" t="s">
        <v>780</v>
      </c>
      <c r="C104" s="609">
        <v>505.77</v>
      </c>
      <c r="D104" s="609">
        <v>476.65999999999997</v>
      </c>
      <c r="E104" s="609">
        <v>150</v>
      </c>
      <c r="F104" s="609">
        <v>337.64</v>
      </c>
      <c r="G104" s="609">
        <v>92.83</v>
      </c>
      <c r="H104" s="609">
        <v>1562.8999999999999</v>
      </c>
      <c r="I104" s="601">
        <v>2.2029521353190948</v>
      </c>
      <c r="J104" s="601">
        <v>2.2316805896517753</v>
      </c>
      <c r="K104" s="601">
        <v>2.6875378360390054</v>
      </c>
      <c r="L104" s="601">
        <v>3.2042395377737103</v>
      </c>
      <c r="M104" s="509"/>
      <c r="N104" s="509"/>
      <c r="O104" s="509"/>
      <c r="P104" s="509"/>
      <c r="Q104" s="509"/>
      <c r="R104" s="509"/>
      <c r="S104" s="509"/>
      <c r="T104" s="509"/>
      <c r="U104" s="509"/>
      <c r="V104" s="509"/>
      <c r="W104" s="509"/>
    </row>
    <row r="105" spans="1:23" s="488" customFormat="1" ht="12.75" x14ac:dyDescent="0.2">
      <c r="A105" s="572" t="s">
        <v>903</v>
      </c>
      <c r="B105" s="572" t="s">
        <v>780</v>
      </c>
      <c r="C105" s="609">
        <v>559.03</v>
      </c>
      <c r="D105" s="609">
        <v>593.21</v>
      </c>
      <c r="E105" s="609">
        <v>198.8</v>
      </c>
      <c r="F105" s="609">
        <v>75.14</v>
      </c>
      <c r="G105" s="609">
        <v>88.65</v>
      </c>
      <c r="H105" s="609">
        <v>1514.83</v>
      </c>
      <c r="I105" s="601">
        <v>3.2800496865862128</v>
      </c>
      <c r="J105" s="601">
        <v>2.770968024707372</v>
      </c>
      <c r="K105" s="601">
        <v>3.0429015582128676</v>
      </c>
      <c r="L105" s="601">
        <v>3.2708025052807388</v>
      </c>
      <c r="M105" s="509"/>
      <c r="N105" s="509"/>
      <c r="O105" s="509"/>
      <c r="P105" s="509"/>
      <c r="Q105" s="509"/>
      <c r="R105" s="509"/>
      <c r="S105" s="509"/>
      <c r="T105" s="509"/>
      <c r="U105" s="509"/>
      <c r="V105" s="509"/>
      <c r="W105" s="509"/>
    </row>
    <row r="106" spans="1:23" s="488" customFormat="1" ht="12.75" x14ac:dyDescent="0.2">
      <c r="A106" s="578" t="s">
        <v>904</v>
      </c>
      <c r="B106" s="578" t="s">
        <v>780</v>
      </c>
      <c r="C106" s="608">
        <v>661.30000000000007</v>
      </c>
      <c r="D106" s="608">
        <v>496.83</v>
      </c>
      <c r="E106" s="608">
        <v>157.90999999999997</v>
      </c>
      <c r="F106" s="608">
        <v>275.17</v>
      </c>
      <c r="G106" s="608">
        <v>120.2</v>
      </c>
      <c r="H106" s="608">
        <v>1711.4099999999999</v>
      </c>
      <c r="I106" s="603">
        <v>3.5548663006889067</v>
      </c>
      <c r="J106" s="603">
        <v>3.0869028753659098</v>
      </c>
      <c r="K106" s="603">
        <v>3.2641984400634585</v>
      </c>
      <c r="L106" s="603">
        <v>3.9075764962258757</v>
      </c>
      <c r="M106" s="509"/>
      <c r="N106" s="509"/>
      <c r="O106" s="509"/>
      <c r="P106" s="509"/>
      <c r="Q106" s="509"/>
      <c r="R106" s="509"/>
      <c r="S106" s="509"/>
      <c r="T106" s="509"/>
      <c r="U106" s="509"/>
      <c r="V106" s="509"/>
      <c r="W106" s="509"/>
    </row>
    <row r="107" spans="1:23" s="488" customFormat="1" ht="12.75" x14ac:dyDescent="0.2">
      <c r="A107" s="602"/>
      <c r="B107" s="602"/>
      <c r="C107" s="608"/>
      <c r="D107" s="608"/>
      <c r="E107" s="608"/>
      <c r="F107" s="608"/>
      <c r="G107" s="608"/>
      <c r="H107" s="608"/>
      <c r="I107" s="603"/>
      <c r="J107" s="603"/>
      <c r="K107" s="603"/>
      <c r="L107" s="603"/>
      <c r="M107" s="509"/>
      <c r="N107" s="509"/>
      <c r="O107" s="509"/>
      <c r="P107" s="509"/>
      <c r="Q107" s="509"/>
      <c r="R107" s="509"/>
      <c r="S107" s="509"/>
      <c r="T107" s="509"/>
      <c r="U107" s="509"/>
    </row>
    <row r="108" spans="1:23" s="488" customFormat="1" ht="12.75" x14ac:dyDescent="0.2">
      <c r="A108" s="611">
        <v>39448</v>
      </c>
      <c r="B108" s="572" t="s">
        <v>825</v>
      </c>
      <c r="C108" s="609">
        <v>173.85</v>
      </c>
      <c r="D108" s="609">
        <v>60.06</v>
      </c>
      <c r="E108" s="609">
        <v>28.35</v>
      </c>
      <c r="F108" s="609">
        <v>69.400000000000006</v>
      </c>
      <c r="G108" s="609">
        <v>144.19999999999999</v>
      </c>
      <c r="H108" s="609">
        <v>475.86</v>
      </c>
      <c r="I108" s="601">
        <v>11.51</v>
      </c>
      <c r="J108" s="601">
        <v>11.61</v>
      </c>
      <c r="K108" s="601">
        <v>15.8</v>
      </c>
      <c r="L108" s="601">
        <v>15.69</v>
      </c>
    </row>
    <row r="109" spans="1:23" s="488" customFormat="1" ht="12.75" x14ac:dyDescent="0.2">
      <c r="A109" s="611">
        <v>39479</v>
      </c>
      <c r="B109" s="572" t="s">
        <v>825</v>
      </c>
      <c r="C109" s="609">
        <v>162.35</v>
      </c>
      <c r="D109" s="609">
        <v>80.84</v>
      </c>
      <c r="E109" s="609">
        <v>33</v>
      </c>
      <c r="F109" s="609">
        <v>26.5</v>
      </c>
      <c r="G109" s="609">
        <v>111.15</v>
      </c>
      <c r="H109" s="609">
        <v>413.84</v>
      </c>
      <c r="I109" s="601">
        <v>10.220000000000001</v>
      </c>
      <c r="J109" s="601">
        <v>10.8</v>
      </c>
      <c r="K109" s="601">
        <v>15.74</v>
      </c>
      <c r="L109" s="601">
        <v>15.66</v>
      </c>
    </row>
    <row r="110" spans="1:23" s="488" customFormat="1" ht="12.75" x14ac:dyDescent="0.2">
      <c r="A110" s="611">
        <v>39508</v>
      </c>
      <c r="B110" s="572" t="s">
        <v>825</v>
      </c>
      <c r="C110" s="609">
        <v>128.83000000000001</v>
      </c>
      <c r="D110" s="609">
        <v>79.11</v>
      </c>
      <c r="E110" s="609">
        <v>30.6</v>
      </c>
      <c r="F110" s="609">
        <v>51.14</v>
      </c>
      <c r="G110" s="609">
        <v>99.1</v>
      </c>
      <c r="H110" s="609">
        <v>388.78</v>
      </c>
      <c r="I110" s="601">
        <v>8.2100000000000009</v>
      </c>
      <c r="J110" s="601">
        <v>9.66</v>
      </c>
      <c r="K110" s="601">
        <v>15.53</v>
      </c>
      <c r="L110" s="601">
        <v>15.46</v>
      </c>
    </row>
    <row r="111" spans="1:23" s="488" customFormat="1" ht="12.75" x14ac:dyDescent="0.2">
      <c r="A111" s="611">
        <v>39539</v>
      </c>
      <c r="B111" s="572" t="s">
        <v>825</v>
      </c>
      <c r="C111" s="609">
        <v>151.19999999999999</v>
      </c>
      <c r="D111" s="609">
        <v>74.709999999999994</v>
      </c>
      <c r="E111" s="609">
        <v>33.82</v>
      </c>
      <c r="F111" s="609">
        <v>33.200000000000003</v>
      </c>
      <c r="G111" s="609">
        <v>82.25</v>
      </c>
      <c r="H111" s="609">
        <v>375.18</v>
      </c>
      <c r="I111" s="601">
        <v>10.210000000000001</v>
      </c>
      <c r="J111" s="601">
        <v>10.87</v>
      </c>
      <c r="K111" s="601">
        <v>15.75</v>
      </c>
      <c r="L111" s="601">
        <v>15.68</v>
      </c>
    </row>
    <row r="112" spans="1:23" s="488" customFormat="1" ht="12.75" x14ac:dyDescent="0.2">
      <c r="A112" s="611">
        <v>39569</v>
      </c>
      <c r="B112" s="572" t="s">
        <v>825</v>
      </c>
      <c r="C112" s="609">
        <v>150.91999999999999</v>
      </c>
      <c r="D112" s="609">
        <v>60.57</v>
      </c>
      <c r="E112" s="609">
        <v>42.5</v>
      </c>
      <c r="F112" s="609">
        <v>56.02</v>
      </c>
      <c r="G112" s="609">
        <v>77</v>
      </c>
      <c r="H112" s="609">
        <v>387.01</v>
      </c>
      <c r="I112" s="601">
        <v>9.24</v>
      </c>
      <c r="J112" s="601">
        <v>9.8000000000000007</v>
      </c>
      <c r="K112" s="601">
        <v>14.91</v>
      </c>
      <c r="L112" s="601">
        <v>14.85</v>
      </c>
    </row>
    <row r="113" spans="1:12" s="488" customFormat="1" ht="12.75" x14ac:dyDescent="0.2">
      <c r="A113" s="611">
        <v>39600</v>
      </c>
      <c r="B113" s="572" t="s">
        <v>825</v>
      </c>
      <c r="C113" s="609">
        <v>119.25</v>
      </c>
      <c r="D113" s="609">
        <v>124.1</v>
      </c>
      <c r="E113" s="609">
        <v>33.200000000000003</v>
      </c>
      <c r="F113" s="609">
        <v>29</v>
      </c>
      <c r="G113" s="609">
        <v>128</v>
      </c>
      <c r="H113" s="609">
        <v>433.55</v>
      </c>
      <c r="I113" s="601">
        <v>9.83</v>
      </c>
      <c r="J113" s="601">
        <v>10.23</v>
      </c>
      <c r="K113" s="601">
        <v>14.42</v>
      </c>
      <c r="L113" s="601">
        <v>14.35</v>
      </c>
    </row>
    <row r="114" spans="1:12" s="488" customFormat="1" ht="12.75" x14ac:dyDescent="0.2">
      <c r="A114" s="611">
        <v>39630</v>
      </c>
      <c r="B114" s="572" t="s">
        <v>825</v>
      </c>
      <c r="C114" s="609">
        <v>231.72</v>
      </c>
      <c r="D114" s="609">
        <v>120.27</v>
      </c>
      <c r="E114" s="609">
        <v>40.5</v>
      </c>
      <c r="F114" s="609">
        <v>46.9</v>
      </c>
      <c r="G114" s="609">
        <v>163</v>
      </c>
      <c r="H114" s="609">
        <v>602.39</v>
      </c>
      <c r="I114" s="601">
        <v>9.2200000000000006</v>
      </c>
      <c r="J114" s="601">
        <v>9.83</v>
      </c>
      <c r="K114" s="601">
        <v>14.55</v>
      </c>
      <c r="L114" s="601">
        <v>14.49</v>
      </c>
    </row>
    <row r="115" spans="1:12" s="488" customFormat="1" ht="12.75" x14ac:dyDescent="0.2">
      <c r="A115" s="611">
        <v>39661</v>
      </c>
      <c r="B115" s="572" t="s">
        <v>825</v>
      </c>
      <c r="C115" s="609">
        <v>199.3</v>
      </c>
      <c r="D115" s="609">
        <v>110.5</v>
      </c>
      <c r="E115" s="609">
        <v>44.9</v>
      </c>
      <c r="F115" s="609">
        <v>31.25</v>
      </c>
      <c r="G115" s="609">
        <v>156.25</v>
      </c>
      <c r="H115" s="609">
        <v>542.20000000000005</v>
      </c>
      <c r="I115" s="601">
        <v>7.38</v>
      </c>
      <c r="J115" s="601">
        <v>8.11</v>
      </c>
      <c r="K115" s="601">
        <v>14.18</v>
      </c>
      <c r="L115" s="601">
        <v>14.11</v>
      </c>
    </row>
    <row r="116" spans="1:12" s="488" customFormat="1" ht="12.75" x14ac:dyDescent="0.2">
      <c r="A116" s="611">
        <v>39692</v>
      </c>
      <c r="B116" s="572" t="s">
        <v>825</v>
      </c>
      <c r="C116" s="609">
        <v>186.5</v>
      </c>
      <c r="D116" s="609">
        <v>141.29</v>
      </c>
      <c r="E116" s="609">
        <v>91.12</v>
      </c>
      <c r="F116" s="609">
        <v>46.35</v>
      </c>
      <c r="G116" s="609">
        <v>90.7</v>
      </c>
      <c r="H116" s="609">
        <v>555.96</v>
      </c>
      <c r="I116" s="601">
        <v>6.69</v>
      </c>
      <c r="J116" s="601">
        <v>6.46</v>
      </c>
      <c r="K116" s="601">
        <v>14.8</v>
      </c>
      <c r="L116" s="601">
        <v>14.73</v>
      </c>
    </row>
    <row r="117" spans="1:12" s="488" customFormat="1" ht="12.75" x14ac:dyDescent="0.2">
      <c r="A117" s="611">
        <v>39722</v>
      </c>
      <c r="B117" s="572" t="s">
        <v>825</v>
      </c>
      <c r="C117" s="609">
        <v>351.85</v>
      </c>
      <c r="D117" s="609">
        <v>103.26</v>
      </c>
      <c r="E117" s="609">
        <v>105.4</v>
      </c>
      <c r="F117" s="609">
        <v>89.5</v>
      </c>
      <c r="G117" s="609">
        <v>117.75</v>
      </c>
      <c r="H117" s="609">
        <v>767.76</v>
      </c>
      <c r="I117" s="601">
        <v>9.18</v>
      </c>
      <c r="J117" s="601">
        <v>8.7200000000000006</v>
      </c>
      <c r="K117" s="601">
        <v>13.1</v>
      </c>
      <c r="L117" s="601">
        <v>13.01</v>
      </c>
    </row>
    <row r="118" spans="1:12" s="488" customFormat="1" ht="12.75" x14ac:dyDescent="0.2">
      <c r="A118" s="611">
        <v>39753</v>
      </c>
      <c r="B118" s="572" t="s">
        <v>825</v>
      </c>
      <c r="C118" s="609">
        <v>99.2</v>
      </c>
      <c r="D118" s="609">
        <v>45.26</v>
      </c>
      <c r="E118" s="609">
        <v>33.97</v>
      </c>
      <c r="F118" s="609">
        <v>31.7</v>
      </c>
      <c r="G118" s="609">
        <v>88.25</v>
      </c>
      <c r="H118" s="609">
        <v>298.38</v>
      </c>
      <c r="I118" s="601">
        <v>12.94</v>
      </c>
      <c r="J118" s="601">
        <v>12.48</v>
      </c>
      <c r="K118" s="601">
        <v>14.72</v>
      </c>
      <c r="L118" s="601">
        <v>14.66</v>
      </c>
    </row>
    <row r="119" spans="1:12" s="488" customFormat="1" ht="12.75" x14ac:dyDescent="0.2">
      <c r="A119" s="611">
        <v>39783</v>
      </c>
      <c r="B119" s="572" t="s">
        <v>825</v>
      </c>
      <c r="C119" s="609">
        <v>105.65</v>
      </c>
      <c r="D119" s="609">
        <v>115.63</v>
      </c>
      <c r="E119" s="609">
        <v>3.4</v>
      </c>
      <c r="F119" s="609">
        <v>3.1</v>
      </c>
      <c r="G119" s="609">
        <v>3</v>
      </c>
      <c r="H119" s="609">
        <v>230.78</v>
      </c>
      <c r="I119" s="601">
        <v>13.67</v>
      </c>
      <c r="J119" s="601">
        <v>14.14</v>
      </c>
      <c r="K119" s="601">
        <v>15.38</v>
      </c>
      <c r="L119" s="601">
        <v>15.33</v>
      </c>
    </row>
    <row r="120" spans="1:12" s="488" customFormat="1" ht="12.75" x14ac:dyDescent="0.2">
      <c r="A120" s="612">
        <v>39814</v>
      </c>
      <c r="B120" s="578" t="s">
        <v>825</v>
      </c>
      <c r="C120" s="608">
        <v>97.85</v>
      </c>
      <c r="D120" s="608">
        <v>162.09</v>
      </c>
      <c r="E120" s="608">
        <v>17.170000000000002</v>
      </c>
      <c r="F120" s="608">
        <v>15.15</v>
      </c>
      <c r="G120" s="608">
        <v>20.9</v>
      </c>
      <c r="H120" s="608">
        <v>313.16000000000003</v>
      </c>
      <c r="I120" s="603">
        <v>12.35</v>
      </c>
      <c r="J120" s="603">
        <v>12.04</v>
      </c>
      <c r="K120" s="603">
        <v>15.45</v>
      </c>
      <c r="L120" s="603">
        <v>15.42</v>
      </c>
    </row>
    <row r="121" spans="1:12" s="488" customFormat="1" ht="12.75" x14ac:dyDescent="0.2">
      <c r="A121" s="612">
        <v>39845</v>
      </c>
      <c r="B121" s="578" t="s">
        <v>825</v>
      </c>
      <c r="C121" s="608">
        <v>143.31</v>
      </c>
      <c r="D121" s="608">
        <v>74.099999999999994</v>
      </c>
      <c r="E121" s="608">
        <v>30.5</v>
      </c>
      <c r="F121" s="608">
        <v>65.05</v>
      </c>
      <c r="G121" s="608">
        <v>11.5</v>
      </c>
      <c r="H121" s="608">
        <v>324.45999999999998</v>
      </c>
      <c r="I121" s="603">
        <v>14.58</v>
      </c>
      <c r="J121" s="603">
        <v>12.05</v>
      </c>
      <c r="K121" s="603">
        <v>14.57</v>
      </c>
      <c r="L121" s="603">
        <v>14.54</v>
      </c>
    </row>
    <row r="122" spans="1:12" s="488" customFormat="1" ht="12.75" x14ac:dyDescent="0.2">
      <c r="A122" s="612">
        <v>39873</v>
      </c>
      <c r="B122" s="578" t="s">
        <v>825</v>
      </c>
      <c r="C122" s="608">
        <v>206.95</v>
      </c>
      <c r="D122" s="608">
        <v>97.48</v>
      </c>
      <c r="E122" s="608">
        <v>48.19</v>
      </c>
      <c r="F122" s="608">
        <v>72.650000000000006</v>
      </c>
      <c r="G122" s="608">
        <v>70.319999999999993</v>
      </c>
      <c r="H122" s="608">
        <v>495.59</v>
      </c>
      <c r="I122" s="603">
        <v>10.87</v>
      </c>
      <c r="J122" s="603">
        <v>10.38</v>
      </c>
      <c r="K122" s="603">
        <v>14.06</v>
      </c>
      <c r="L122" s="603">
        <v>14.03</v>
      </c>
    </row>
    <row r="123" spans="1:12" s="488" customFormat="1" ht="12.75" x14ac:dyDescent="0.2">
      <c r="A123" s="612">
        <v>39904</v>
      </c>
      <c r="B123" s="578" t="s">
        <v>825</v>
      </c>
      <c r="C123" s="608">
        <v>112.25</v>
      </c>
      <c r="D123" s="608">
        <v>73.849999999999994</v>
      </c>
      <c r="E123" s="608">
        <v>38.53</v>
      </c>
      <c r="F123" s="608">
        <v>59.1</v>
      </c>
      <c r="G123" s="608">
        <v>57.6</v>
      </c>
      <c r="H123" s="608">
        <v>341.33</v>
      </c>
      <c r="I123" s="603">
        <v>10.37</v>
      </c>
      <c r="J123" s="603">
        <v>9.61</v>
      </c>
      <c r="K123" s="603">
        <v>12.67</v>
      </c>
      <c r="L123" s="603">
        <v>12.64</v>
      </c>
    </row>
    <row r="124" spans="1:12" s="488" customFormat="1" ht="12.75" x14ac:dyDescent="0.2">
      <c r="A124" s="612">
        <v>39934</v>
      </c>
      <c r="B124" s="578" t="s">
        <v>825</v>
      </c>
      <c r="C124" s="608">
        <v>120.35</v>
      </c>
      <c r="D124" s="608">
        <v>107.5</v>
      </c>
      <c r="E124" s="608">
        <v>45</v>
      </c>
      <c r="F124" s="608">
        <v>46.25</v>
      </c>
      <c r="G124" s="608">
        <v>36.049999999999997</v>
      </c>
      <c r="H124" s="608">
        <v>355.15</v>
      </c>
      <c r="I124" s="603">
        <v>5.3</v>
      </c>
      <c r="J124" s="603">
        <v>5.46</v>
      </c>
      <c r="K124" s="603">
        <v>11.3</v>
      </c>
      <c r="L124" s="603">
        <v>11.28</v>
      </c>
    </row>
    <row r="125" spans="1:12" s="488" customFormat="1" ht="12.75" x14ac:dyDescent="0.2">
      <c r="A125" s="612">
        <v>39965</v>
      </c>
      <c r="B125" s="578" t="s">
        <v>825</v>
      </c>
      <c r="C125" s="608">
        <v>110.75</v>
      </c>
      <c r="D125" s="608">
        <v>77.400000000000006</v>
      </c>
      <c r="E125" s="608">
        <v>11</v>
      </c>
      <c r="F125" s="608">
        <v>45.37</v>
      </c>
      <c r="G125" s="608">
        <v>143.1</v>
      </c>
      <c r="H125" s="608">
        <v>387.62</v>
      </c>
      <c r="I125" s="603">
        <v>4.92</v>
      </c>
      <c r="J125" s="603">
        <v>4.9400000000000004</v>
      </c>
      <c r="K125" s="603">
        <v>11.14</v>
      </c>
      <c r="L125" s="603">
        <v>11.13</v>
      </c>
    </row>
    <row r="126" spans="1:12" s="488" customFormat="1" ht="12.75" x14ac:dyDescent="0.2">
      <c r="A126" s="612">
        <v>39995</v>
      </c>
      <c r="B126" s="578" t="s">
        <v>825</v>
      </c>
      <c r="C126" s="608">
        <v>81.34</v>
      </c>
      <c r="D126" s="608">
        <v>115.44</v>
      </c>
      <c r="E126" s="608">
        <v>56.25</v>
      </c>
      <c r="F126" s="608">
        <v>50</v>
      </c>
      <c r="G126" s="608">
        <v>148.87</v>
      </c>
      <c r="H126" s="608">
        <v>451.9</v>
      </c>
      <c r="I126" s="603">
        <v>3.87</v>
      </c>
      <c r="J126" s="603">
        <v>3.8</v>
      </c>
      <c r="K126" s="603">
        <v>10.69</v>
      </c>
      <c r="L126" s="603">
        <v>10.68</v>
      </c>
    </row>
    <row r="127" spans="1:12" s="488" customFormat="1" ht="12.75" x14ac:dyDescent="0.2">
      <c r="A127" s="612">
        <v>40026</v>
      </c>
      <c r="B127" s="578" t="s">
        <v>825</v>
      </c>
      <c r="C127" s="608">
        <v>118.71</v>
      </c>
      <c r="D127" s="608">
        <v>122.8</v>
      </c>
      <c r="E127" s="608">
        <v>54.75</v>
      </c>
      <c r="F127" s="608">
        <v>43.5</v>
      </c>
      <c r="G127" s="608">
        <v>74</v>
      </c>
      <c r="H127" s="608">
        <v>413.76</v>
      </c>
      <c r="I127" s="603">
        <v>4.07</v>
      </c>
      <c r="J127" s="603">
        <v>4.2</v>
      </c>
      <c r="K127" s="603">
        <v>10.14</v>
      </c>
      <c r="L127" s="603">
        <v>10.130000000000001</v>
      </c>
    </row>
    <row r="128" spans="1:12" s="488" customFormat="1" ht="12.75" x14ac:dyDescent="0.2">
      <c r="A128" s="612">
        <v>40057</v>
      </c>
      <c r="B128" s="578" t="s">
        <v>825</v>
      </c>
      <c r="C128" s="608">
        <v>60.96</v>
      </c>
      <c r="D128" s="608">
        <v>115.89</v>
      </c>
      <c r="E128" s="608">
        <v>45</v>
      </c>
      <c r="F128" s="608">
        <v>26.75</v>
      </c>
      <c r="G128" s="608">
        <v>34.450000000000003</v>
      </c>
      <c r="H128" s="608">
        <v>283.05</v>
      </c>
      <c r="I128" s="603">
        <v>2.82</v>
      </c>
      <c r="J128" s="603">
        <v>2.84</v>
      </c>
      <c r="K128" s="603">
        <v>9.8699999999999992</v>
      </c>
      <c r="L128" s="603">
        <v>9.8699999999999992</v>
      </c>
    </row>
    <row r="129" spans="1:12" s="488" customFormat="1" ht="12.75" x14ac:dyDescent="0.2">
      <c r="A129" s="612">
        <v>40087</v>
      </c>
      <c r="B129" s="578" t="s">
        <v>825</v>
      </c>
      <c r="C129" s="608">
        <v>108.66</v>
      </c>
      <c r="D129" s="608">
        <v>158.41999999999999</v>
      </c>
      <c r="E129" s="608">
        <v>34.5</v>
      </c>
      <c r="F129" s="608">
        <v>47</v>
      </c>
      <c r="G129" s="608">
        <v>102.45</v>
      </c>
      <c r="H129" s="608">
        <v>451.03</v>
      </c>
      <c r="I129" s="603">
        <v>2.76</v>
      </c>
      <c r="J129" s="603">
        <v>2.37</v>
      </c>
      <c r="K129" s="603">
        <v>8.85</v>
      </c>
      <c r="L129" s="603">
        <v>8.84</v>
      </c>
    </row>
    <row r="130" spans="1:12" s="488" customFormat="1" ht="12.75" x14ac:dyDescent="0.2">
      <c r="A130" s="612">
        <v>40118</v>
      </c>
      <c r="B130" s="578" t="s">
        <v>825</v>
      </c>
      <c r="C130" s="608">
        <v>204.88</v>
      </c>
      <c r="D130" s="608">
        <v>152.96</v>
      </c>
      <c r="E130" s="608">
        <v>66.5</v>
      </c>
      <c r="F130" s="608">
        <v>26.5</v>
      </c>
      <c r="G130" s="608">
        <v>66</v>
      </c>
      <c r="H130" s="608">
        <v>516.84</v>
      </c>
      <c r="I130" s="603">
        <v>4.05</v>
      </c>
      <c r="J130" s="603">
        <v>3.7</v>
      </c>
      <c r="K130" s="603">
        <v>7.38</v>
      </c>
      <c r="L130" s="603">
        <v>7.38</v>
      </c>
    </row>
    <row r="131" spans="1:12" s="488" customFormat="1" ht="12.75" x14ac:dyDescent="0.2">
      <c r="A131" s="612">
        <v>40148</v>
      </c>
      <c r="B131" s="578" t="s">
        <v>825</v>
      </c>
      <c r="C131" s="608">
        <v>149.36000000000001</v>
      </c>
      <c r="D131" s="608">
        <v>57.81</v>
      </c>
      <c r="E131" s="608">
        <v>17</v>
      </c>
      <c r="F131" s="608">
        <v>21.9</v>
      </c>
      <c r="G131" s="608">
        <v>43.75</v>
      </c>
      <c r="H131" s="608">
        <v>289.82</v>
      </c>
      <c r="I131" s="603">
        <v>3.9</v>
      </c>
      <c r="J131" s="603">
        <v>3.74</v>
      </c>
      <c r="K131" s="603">
        <v>7.3</v>
      </c>
      <c r="L131" s="603">
        <v>7.3</v>
      </c>
    </row>
    <row r="132" spans="1:12" s="488" customFormat="1" ht="12.75" x14ac:dyDescent="0.2">
      <c r="A132" s="611">
        <v>40179</v>
      </c>
      <c r="B132" s="572" t="s">
        <v>825</v>
      </c>
      <c r="C132" s="609">
        <v>108.81</v>
      </c>
      <c r="D132" s="609">
        <v>50.62</v>
      </c>
      <c r="E132" s="609">
        <v>11.75</v>
      </c>
      <c r="F132" s="609">
        <v>23.1</v>
      </c>
      <c r="G132" s="609">
        <v>63.25</v>
      </c>
      <c r="H132" s="609">
        <v>257.52999999999997</v>
      </c>
      <c r="I132" s="601">
        <v>5.51</v>
      </c>
      <c r="J132" s="601">
        <v>4.6100000000000003</v>
      </c>
      <c r="K132" s="601">
        <v>7.57</v>
      </c>
      <c r="L132" s="601">
        <v>7.56</v>
      </c>
    </row>
    <row r="133" spans="1:12" s="488" customFormat="1" ht="12.75" x14ac:dyDescent="0.2">
      <c r="A133" s="611">
        <v>40210</v>
      </c>
      <c r="B133" s="572" t="s">
        <v>825</v>
      </c>
      <c r="C133" s="609">
        <v>76.75</v>
      </c>
      <c r="D133" s="609">
        <v>61.74</v>
      </c>
      <c r="E133" s="609">
        <v>8.5</v>
      </c>
      <c r="F133" s="609">
        <v>17.649999999999999</v>
      </c>
      <c r="G133" s="609">
        <v>49</v>
      </c>
      <c r="H133" s="609">
        <v>213.64</v>
      </c>
      <c r="I133" s="601">
        <v>5.67</v>
      </c>
      <c r="J133" s="601">
        <v>5.14</v>
      </c>
      <c r="K133" s="601">
        <v>7.84</v>
      </c>
      <c r="L133" s="601">
        <v>7.84</v>
      </c>
    </row>
    <row r="134" spans="1:12" s="488" customFormat="1" ht="12.75" x14ac:dyDescent="0.2">
      <c r="A134" s="611">
        <v>40238</v>
      </c>
      <c r="B134" s="572" t="s">
        <v>825</v>
      </c>
      <c r="C134" s="609">
        <v>86.18</v>
      </c>
      <c r="D134" s="609">
        <v>94.9</v>
      </c>
      <c r="E134" s="609">
        <v>48.8</v>
      </c>
      <c r="F134" s="609">
        <v>39.6</v>
      </c>
      <c r="G134" s="609">
        <v>84.05</v>
      </c>
      <c r="H134" s="609">
        <v>353.53</v>
      </c>
      <c r="I134" s="601">
        <v>6.06</v>
      </c>
      <c r="J134" s="601">
        <v>5.92</v>
      </c>
      <c r="K134" s="601">
        <v>8.1300000000000008</v>
      </c>
      <c r="L134" s="601">
        <v>8.1300000000000008</v>
      </c>
    </row>
    <row r="135" spans="1:12" s="488" customFormat="1" ht="12.75" x14ac:dyDescent="0.2">
      <c r="A135" s="611">
        <v>40269</v>
      </c>
      <c r="B135" s="572" t="s">
        <v>825</v>
      </c>
      <c r="C135" s="609">
        <v>98.62</v>
      </c>
      <c r="D135" s="609">
        <v>31.3</v>
      </c>
      <c r="E135" s="609">
        <v>15</v>
      </c>
      <c r="F135" s="609">
        <v>13.25</v>
      </c>
      <c r="G135" s="609">
        <v>67.55</v>
      </c>
      <c r="H135" s="609">
        <v>225.72</v>
      </c>
      <c r="I135" s="601">
        <v>6.12</v>
      </c>
      <c r="J135" s="601">
        <v>5.76</v>
      </c>
      <c r="K135" s="601">
        <v>8.18</v>
      </c>
      <c r="L135" s="601">
        <v>8.18</v>
      </c>
    </row>
    <row r="136" spans="1:12" s="488" customFormat="1" ht="12.75" x14ac:dyDescent="0.2">
      <c r="A136" s="611">
        <v>40299</v>
      </c>
      <c r="B136" s="572" t="s">
        <v>825</v>
      </c>
      <c r="C136" s="609">
        <v>70.45</v>
      </c>
      <c r="D136" s="609">
        <v>63.57</v>
      </c>
      <c r="E136" s="609">
        <v>16.190000000000001</v>
      </c>
      <c r="F136" s="609">
        <v>24.75</v>
      </c>
      <c r="G136" s="609">
        <v>46</v>
      </c>
      <c r="H136" s="609">
        <v>220.96</v>
      </c>
      <c r="I136" s="601">
        <v>5.31</v>
      </c>
      <c r="J136" s="601">
        <v>4.9000000000000004</v>
      </c>
      <c r="K136" s="601">
        <v>7.77</v>
      </c>
      <c r="L136" s="601">
        <v>7.77</v>
      </c>
    </row>
    <row r="137" spans="1:12" s="488" customFormat="1" ht="12.75" x14ac:dyDescent="0.2">
      <c r="A137" s="611">
        <v>40330</v>
      </c>
      <c r="B137" s="572" t="s">
        <v>825</v>
      </c>
      <c r="C137" s="609">
        <v>82.56</v>
      </c>
      <c r="D137" s="609">
        <v>122.95</v>
      </c>
      <c r="E137" s="609">
        <v>29</v>
      </c>
      <c r="F137" s="609">
        <v>20.25</v>
      </c>
      <c r="G137" s="609">
        <v>36.25</v>
      </c>
      <c r="H137" s="609">
        <v>291.01</v>
      </c>
      <c r="I137" s="601">
        <v>5.49</v>
      </c>
      <c r="J137" s="601">
        <v>4.79</v>
      </c>
      <c r="K137" s="601">
        <v>7.53</v>
      </c>
      <c r="L137" s="601">
        <v>7.53</v>
      </c>
    </row>
    <row r="138" spans="1:12" s="488" customFormat="1" ht="12.75" x14ac:dyDescent="0.2">
      <c r="A138" s="611">
        <v>40360</v>
      </c>
      <c r="B138" s="572" t="s">
        <v>825</v>
      </c>
      <c r="C138" s="609">
        <v>72.37</v>
      </c>
      <c r="D138" s="609">
        <v>166.93</v>
      </c>
      <c r="E138" s="609">
        <v>134.6</v>
      </c>
      <c r="F138" s="609">
        <v>67.349999999999994</v>
      </c>
      <c r="G138" s="609">
        <v>114.6</v>
      </c>
      <c r="H138" s="609">
        <v>555.85</v>
      </c>
      <c r="I138" s="601">
        <v>5.17</v>
      </c>
      <c r="J138" s="601">
        <v>4.0999999999999996</v>
      </c>
      <c r="K138" s="601">
        <v>7.47</v>
      </c>
      <c r="L138" s="601">
        <v>7.46</v>
      </c>
    </row>
    <row r="139" spans="1:12" s="488" customFormat="1" ht="12.75" x14ac:dyDescent="0.2">
      <c r="A139" s="611">
        <v>40391</v>
      </c>
      <c r="B139" s="572" t="s">
        <v>825</v>
      </c>
      <c r="C139" s="609">
        <v>77.069999999999993</v>
      </c>
      <c r="D139" s="609">
        <v>61.44</v>
      </c>
      <c r="E139" s="609">
        <v>103.05</v>
      </c>
      <c r="F139" s="609">
        <v>73</v>
      </c>
      <c r="G139" s="609">
        <v>104.25</v>
      </c>
      <c r="H139" s="609">
        <v>418.81</v>
      </c>
      <c r="I139" s="601">
        <v>3.65</v>
      </c>
      <c r="J139" s="601">
        <v>2.27</v>
      </c>
      <c r="K139" s="601">
        <v>7.19</v>
      </c>
      <c r="L139" s="601">
        <v>7.18</v>
      </c>
    </row>
    <row r="140" spans="1:12" s="488" customFormat="1" ht="12.75" x14ac:dyDescent="0.2">
      <c r="A140" s="611">
        <v>40422</v>
      </c>
      <c r="B140" s="572" t="s">
        <v>825</v>
      </c>
      <c r="C140" s="609">
        <v>51.57</v>
      </c>
      <c r="D140" s="609">
        <v>43</v>
      </c>
      <c r="E140" s="609">
        <v>24</v>
      </c>
      <c r="F140" s="609">
        <v>57.5</v>
      </c>
      <c r="G140" s="609">
        <v>119.45</v>
      </c>
      <c r="H140" s="609">
        <v>295.52</v>
      </c>
      <c r="I140" s="601">
        <v>0.6</v>
      </c>
      <c r="J140" s="601">
        <v>0.54</v>
      </c>
      <c r="K140" s="601">
        <v>6.8</v>
      </c>
      <c r="L140" s="601">
        <v>6.8</v>
      </c>
    </row>
    <row r="141" spans="1:12" s="488" customFormat="1" ht="12.75" x14ac:dyDescent="0.2">
      <c r="A141" s="611">
        <v>40452</v>
      </c>
      <c r="B141" s="572" t="s">
        <v>825</v>
      </c>
      <c r="C141" s="609">
        <v>79.47</v>
      </c>
      <c r="D141" s="609">
        <v>87.36</v>
      </c>
      <c r="E141" s="609">
        <v>21.5</v>
      </c>
      <c r="F141" s="609">
        <v>58.15</v>
      </c>
      <c r="G141" s="609">
        <v>44.35</v>
      </c>
      <c r="H141" s="609">
        <v>290.83</v>
      </c>
      <c r="I141" s="601">
        <v>2.17</v>
      </c>
      <c r="J141" s="601">
        <v>1.33</v>
      </c>
      <c r="K141" s="601">
        <v>6.67</v>
      </c>
      <c r="L141" s="601">
        <v>6.67</v>
      </c>
    </row>
    <row r="142" spans="1:12" s="488" customFormat="1" ht="12.75" x14ac:dyDescent="0.2">
      <c r="A142" s="611">
        <v>40483</v>
      </c>
      <c r="B142" s="572" t="s">
        <v>825</v>
      </c>
      <c r="C142" s="609">
        <v>71.06</v>
      </c>
      <c r="D142" s="609">
        <v>56.25</v>
      </c>
      <c r="E142" s="609">
        <v>23.25</v>
      </c>
      <c r="F142" s="609">
        <v>14.5</v>
      </c>
      <c r="G142" s="609">
        <v>56.25</v>
      </c>
      <c r="H142" s="609">
        <v>221.31</v>
      </c>
      <c r="I142" s="601">
        <v>0.79</v>
      </c>
      <c r="J142" s="601">
        <v>0.54</v>
      </c>
      <c r="K142" s="601">
        <v>6.99</v>
      </c>
      <c r="L142" s="601">
        <v>6.99</v>
      </c>
    </row>
    <row r="143" spans="1:12" s="488" customFormat="1" ht="12.75" x14ac:dyDescent="0.2">
      <c r="A143" s="611">
        <v>40513</v>
      </c>
      <c r="B143" s="572" t="s">
        <v>825</v>
      </c>
      <c r="C143" s="609">
        <v>88.55</v>
      </c>
      <c r="D143" s="609">
        <v>100.2</v>
      </c>
      <c r="E143" s="609">
        <v>12.75</v>
      </c>
      <c r="F143" s="609">
        <v>29.45</v>
      </c>
      <c r="G143" s="609">
        <v>73.3</v>
      </c>
      <c r="H143" s="609">
        <v>304.25</v>
      </c>
      <c r="I143" s="601">
        <v>1.48</v>
      </c>
      <c r="J143" s="601">
        <v>1</v>
      </c>
      <c r="K143" s="601">
        <v>6.96</v>
      </c>
      <c r="L143" s="601">
        <v>6.95</v>
      </c>
    </row>
    <row r="144" spans="1:12" s="488" customFormat="1" ht="12.75" x14ac:dyDescent="0.2">
      <c r="A144" s="612">
        <v>40544</v>
      </c>
      <c r="B144" s="578" t="s">
        <v>825</v>
      </c>
      <c r="C144" s="608">
        <v>94.49</v>
      </c>
      <c r="D144" s="608">
        <v>65.790000000000006</v>
      </c>
      <c r="E144" s="608">
        <v>18.25</v>
      </c>
      <c r="F144" s="608">
        <v>104.42</v>
      </c>
      <c r="G144" s="608">
        <v>176.42</v>
      </c>
      <c r="H144" s="608">
        <v>459.37</v>
      </c>
      <c r="I144" s="603">
        <v>1.71</v>
      </c>
      <c r="J144" s="603">
        <v>1.67</v>
      </c>
      <c r="K144" s="603">
        <v>6.83</v>
      </c>
      <c r="L144" s="603">
        <v>6.83</v>
      </c>
    </row>
    <row r="145" spans="1:12" s="488" customFormat="1" ht="12.75" x14ac:dyDescent="0.2">
      <c r="A145" s="612">
        <v>40575</v>
      </c>
      <c r="B145" s="578" t="s">
        <v>825</v>
      </c>
      <c r="C145" s="608">
        <v>66</v>
      </c>
      <c r="D145" s="608">
        <v>18.07</v>
      </c>
      <c r="E145" s="608">
        <v>7.4</v>
      </c>
      <c r="F145" s="608">
        <v>53.1</v>
      </c>
      <c r="G145" s="608">
        <v>67.7</v>
      </c>
      <c r="H145" s="608">
        <v>212.27</v>
      </c>
      <c r="I145" s="603">
        <v>1.88</v>
      </c>
      <c r="J145" s="603">
        <v>1.61</v>
      </c>
      <c r="K145" s="603">
        <v>6.68</v>
      </c>
      <c r="L145" s="603">
        <v>6.67</v>
      </c>
    </row>
    <row r="146" spans="1:12" s="488" customFormat="1" ht="12.75" x14ac:dyDescent="0.2">
      <c r="A146" s="612">
        <v>40603</v>
      </c>
      <c r="B146" s="578" t="s">
        <v>825</v>
      </c>
      <c r="C146" s="608">
        <v>123.66</v>
      </c>
      <c r="D146" s="608">
        <v>98.25</v>
      </c>
      <c r="E146" s="608">
        <v>18.04</v>
      </c>
      <c r="F146" s="608">
        <v>38.799999999999997</v>
      </c>
      <c r="G146" s="608">
        <v>137.71</v>
      </c>
      <c r="H146" s="608">
        <v>416.46</v>
      </c>
      <c r="I146" s="603">
        <v>2.3199999999999998</v>
      </c>
      <c r="J146" s="603">
        <v>1.64</v>
      </c>
      <c r="K146" s="603">
        <v>6.66</v>
      </c>
      <c r="L146" s="603">
        <v>6.66</v>
      </c>
    </row>
    <row r="147" spans="1:12" s="488" customFormat="1" ht="12.75" x14ac:dyDescent="0.2">
      <c r="A147" s="612">
        <v>40634</v>
      </c>
      <c r="B147" s="578" t="s">
        <v>825</v>
      </c>
      <c r="C147" s="608">
        <v>123.9</v>
      </c>
      <c r="D147" s="608">
        <v>107.75</v>
      </c>
      <c r="E147" s="608">
        <v>16.75</v>
      </c>
      <c r="F147" s="608">
        <v>23.75</v>
      </c>
      <c r="G147" s="608">
        <v>121.1</v>
      </c>
      <c r="H147" s="608">
        <v>393.25</v>
      </c>
      <c r="I147" s="603">
        <v>1.96</v>
      </c>
      <c r="J147" s="603">
        <v>2.0099999999999998</v>
      </c>
      <c r="K147" s="603">
        <v>6.72</v>
      </c>
      <c r="L147" s="603">
        <v>6.71</v>
      </c>
    </row>
    <row r="148" spans="1:12" s="488" customFormat="1" ht="12.75" x14ac:dyDescent="0.2">
      <c r="A148" s="612">
        <v>40664</v>
      </c>
      <c r="B148" s="578" t="s">
        <v>825</v>
      </c>
      <c r="C148" s="608">
        <v>137.13999999999999</v>
      </c>
      <c r="D148" s="608">
        <v>125.58</v>
      </c>
      <c r="E148" s="608">
        <v>24</v>
      </c>
      <c r="F148" s="608">
        <v>78.55</v>
      </c>
      <c r="G148" s="608">
        <v>149.65</v>
      </c>
      <c r="H148" s="608">
        <v>514.91999999999996</v>
      </c>
      <c r="I148" s="603">
        <v>2.5499999999999998</v>
      </c>
      <c r="J148" s="603">
        <v>2.34</v>
      </c>
      <c r="K148" s="603">
        <v>6.8</v>
      </c>
      <c r="L148" s="603">
        <v>6.8</v>
      </c>
    </row>
    <row r="149" spans="1:12" s="488" customFormat="1" ht="12.75" x14ac:dyDescent="0.2">
      <c r="A149" s="612">
        <v>40695</v>
      </c>
      <c r="B149" s="578" t="s">
        <v>825</v>
      </c>
      <c r="C149" s="608">
        <v>310.06</v>
      </c>
      <c r="D149" s="608">
        <v>160.94</v>
      </c>
      <c r="E149" s="608">
        <v>31.75</v>
      </c>
      <c r="F149" s="608">
        <v>41.75</v>
      </c>
      <c r="G149" s="608">
        <v>149.9</v>
      </c>
      <c r="H149" s="608">
        <v>694.4</v>
      </c>
      <c r="I149" s="603">
        <v>2.85</v>
      </c>
      <c r="J149" s="603">
        <v>2.4500000000000002</v>
      </c>
      <c r="K149" s="603">
        <v>6.89</v>
      </c>
      <c r="L149" s="603">
        <v>6.88</v>
      </c>
    </row>
    <row r="150" spans="1:12" s="488" customFormat="1" ht="12.75" x14ac:dyDescent="0.2">
      <c r="A150" s="612">
        <v>40725</v>
      </c>
      <c r="B150" s="578" t="s">
        <v>825</v>
      </c>
      <c r="C150" s="608">
        <v>154.26</v>
      </c>
      <c r="D150" s="608">
        <v>108.5</v>
      </c>
      <c r="E150" s="608">
        <v>16.25</v>
      </c>
      <c r="F150" s="608">
        <v>35</v>
      </c>
      <c r="G150" s="608">
        <v>88.15</v>
      </c>
      <c r="H150" s="608">
        <v>402.16</v>
      </c>
      <c r="I150" s="603">
        <v>3.09</v>
      </c>
      <c r="J150" s="603">
        <v>2.56</v>
      </c>
      <c r="K150" s="603">
        <v>6.86</v>
      </c>
      <c r="L150" s="603">
        <v>6.86</v>
      </c>
    </row>
    <row r="151" spans="1:12" s="488" customFormat="1" ht="12.75" x14ac:dyDescent="0.2">
      <c r="A151" s="612">
        <v>40756</v>
      </c>
      <c r="B151" s="578" t="s">
        <v>825</v>
      </c>
      <c r="C151" s="608">
        <v>192.6</v>
      </c>
      <c r="D151" s="608">
        <v>149.25</v>
      </c>
      <c r="E151" s="608">
        <v>58.5</v>
      </c>
      <c r="F151" s="608">
        <v>73</v>
      </c>
      <c r="G151" s="608">
        <v>84</v>
      </c>
      <c r="H151" s="608">
        <v>557.35</v>
      </c>
      <c r="I151" s="603">
        <v>2.4900000000000002</v>
      </c>
      <c r="J151" s="603">
        <v>2.2000000000000002</v>
      </c>
      <c r="K151" s="603">
        <v>6.82</v>
      </c>
      <c r="L151" s="603">
        <v>6.82</v>
      </c>
    </row>
    <row r="152" spans="1:12" s="488" customFormat="1" ht="12.75" x14ac:dyDescent="0.2">
      <c r="A152" s="612">
        <v>40787</v>
      </c>
      <c r="B152" s="578" t="s">
        <v>825</v>
      </c>
      <c r="C152" s="608">
        <v>129.21</v>
      </c>
      <c r="D152" s="608">
        <v>75.75</v>
      </c>
      <c r="E152" s="608">
        <v>37.5</v>
      </c>
      <c r="F152" s="608">
        <v>57</v>
      </c>
      <c r="G152" s="608">
        <v>145.55000000000001</v>
      </c>
      <c r="H152" s="608">
        <v>445.01</v>
      </c>
      <c r="I152" s="603">
        <v>5.09</v>
      </c>
      <c r="J152" s="603">
        <v>4</v>
      </c>
      <c r="K152" s="603">
        <v>6.77</v>
      </c>
      <c r="L152" s="603">
        <v>6.77</v>
      </c>
    </row>
    <row r="153" spans="1:12" s="488" customFormat="1" ht="12.75" x14ac:dyDescent="0.2">
      <c r="A153" s="612">
        <v>40817</v>
      </c>
      <c r="B153" s="578" t="s">
        <v>825</v>
      </c>
      <c r="C153" s="608">
        <v>137.80000000000001</v>
      </c>
      <c r="D153" s="608">
        <v>116.8</v>
      </c>
      <c r="E153" s="608">
        <v>29.5</v>
      </c>
      <c r="F153" s="608">
        <v>95.5</v>
      </c>
      <c r="G153" s="608">
        <v>167.35</v>
      </c>
      <c r="H153" s="608">
        <v>546.95000000000005</v>
      </c>
      <c r="I153" s="603">
        <v>6.61</v>
      </c>
      <c r="J153" s="603">
        <v>5.94</v>
      </c>
      <c r="K153" s="603">
        <v>6.82</v>
      </c>
      <c r="L153" s="603">
        <v>6.82</v>
      </c>
    </row>
    <row r="154" spans="1:12" s="488" customFormat="1" ht="12.75" x14ac:dyDescent="0.2">
      <c r="A154" s="612">
        <v>40848</v>
      </c>
      <c r="B154" s="578" t="s">
        <v>825</v>
      </c>
      <c r="C154" s="608">
        <v>92.7</v>
      </c>
      <c r="D154" s="608">
        <v>84.5</v>
      </c>
      <c r="E154" s="608">
        <v>96</v>
      </c>
      <c r="F154" s="608">
        <v>140</v>
      </c>
      <c r="G154" s="608">
        <v>140.75</v>
      </c>
      <c r="H154" s="608">
        <v>553.95000000000005</v>
      </c>
      <c r="I154" s="603">
        <v>6.78</v>
      </c>
      <c r="J154" s="603">
        <v>5.97</v>
      </c>
      <c r="K154" s="603">
        <v>7.11</v>
      </c>
      <c r="L154" s="603">
        <v>7.1</v>
      </c>
    </row>
    <row r="155" spans="1:12" s="488" customFormat="1" ht="12.75" x14ac:dyDescent="0.2">
      <c r="A155" s="612">
        <v>40878</v>
      </c>
      <c r="B155" s="578" t="s">
        <v>825</v>
      </c>
      <c r="C155" s="608">
        <v>158.29</v>
      </c>
      <c r="D155" s="608">
        <v>91.8</v>
      </c>
      <c r="E155" s="608">
        <v>47.75</v>
      </c>
      <c r="F155" s="608">
        <v>70.400000000000006</v>
      </c>
      <c r="G155" s="608">
        <v>90.85</v>
      </c>
      <c r="H155" s="608">
        <v>459.09</v>
      </c>
      <c r="I155" s="603">
        <v>8.68</v>
      </c>
      <c r="J155" s="603">
        <v>6.73</v>
      </c>
      <c r="K155" s="603">
        <v>7.82</v>
      </c>
      <c r="L155" s="603">
        <v>7.82</v>
      </c>
    </row>
    <row r="156" spans="1:12" s="488" customFormat="1" ht="12.75" x14ac:dyDescent="0.2">
      <c r="A156" s="611">
        <v>40909</v>
      </c>
      <c r="B156" s="572" t="s">
        <v>825</v>
      </c>
      <c r="C156" s="609">
        <v>139.71</v>
      </c>
      <c r="D156" s="609">
        <v>81.31</v>
      </c>
      <c r="E156" s="609">
        <v>52.3</v>
      </c>
      <c r="F156" s="609">
        <v>76.260000000000005</v>
      </c>
      <c r="G156" s="609">
        <v>110.5</v>
      </c>
      <c r="H156" s="609">
        <v>460.08</v>
      </c>
      <c r="I156" s="601">
        <v>5.83</v>
      </c>
      <c r="J156" s="601">
        <v>5.61</v>
      </c>
      <c r="K156" s="601">
        <v>8.1</v>
      </c>
      <c r="L156" s="601">
        <v>8.09</v>
      </c>
    </row>
    <row r="157" spans="1:12" s="488" customFormat="1" ht="12.75" x14ac:dyDescent="0.2">
      <c r="A157" s="611">
        <v>40940</v>
      </c>
      <c r="B157" s="572" t="s">
        <v>825</v>
      </c>
      <c r="C157" s="609">
        <v>96.83</v>
      </c>
      <c r="D157" s="609">
        <v>92.95</v>
      </c>
      <c r="E157" s="609">
        <v>14.33</v>
      </c>
      <c r="F157" s="609">
        <v>156.52000000000001</v>
      </c>
      <c r="G157" s="609">
        <v>154</v>
      </c>
      <c r="H157" s="609">
        <v>514.63</v>
      </c>
      <c r="I157" s="601">
        <v>7.11</v>
      </c>
      <c r="J157" s="601">
        <v>5.87</v>
      </c>
      <c r="K157" s="601">
        <v>8.76</v>
      </c>
      <c r="L157" s="601">
        <v>8.75</v>
      </c>
    </row>
    <row r="158" spans="1:12" s="488" customFormat="1" ht="12.75" x14ac:dyDescent="0.2">
      <c r="A158" s="611">
        <v>40969</v>
      </c>
      <c r="B158" s="572" t="s">
        <v>825</v>
      </c>
      <c r="C158" s="609">
        <v>112.58</v>
      </c>
      <c r="D158" s="609">
        <v>40.44</v>
      </c>
      <c r="E158" s="609">
        <v>4.38</v>
      </c>
      <c r="F158" s="609">
        <v>110.7</v>
      </c>
      <c r="G158" s="609">
        <v>68.95</v>
      </c>
      <c r="H158" s="609">
        <v>337.05</v>
      </c>
      <c r="I158" s="601">
        <v>7.54</v>
      </c>
      <c r="J158" s="601">
        <v>7.47</v>
      </c>
      <c r="K158" s="601">
        <v>9.94</v>
      </c>
      <c r="L158" s="601">
        <v>9.93</v>
      </c>
    </row>
    <row r="159" spans="1:12" s="488" customFormat="1" ht="12.75" x14ac:dyDescent="0.2">
      <c r="A159" s="611">
        <v>41000</v>
      </c>
      <c r="B159" s="572" t="s">
        <v>825</v>
      </c>
      <c r="C159" s="609">
        <v>74.739999999999995</v>
      </c>
      <c r="D159" s="609">
        <v>42.89</v>
      </c>
      <c r="E159" s="609">
        <v>11.3</v>
      </c>
      <c r="F159" s="609">
        <v>20.79</v>
      </c>
      <c r="G159" s="609">
        <v>47</v>
      </c>
      <c r="H159" s="609">
        <v>196.72</v>
      </c>
      <c r="I159" s="601">
        <v>7.51</v>
      </c>
      <c r="J159" s="601">
        <v>9.32</v>
      </c>
      <c r="K159" s="601">
        <v>11.12</v>
      </c>
      <c r="L159" s="601">
        <v>11.11</v>
      </c>
    </row>
    <row r="160" spans="1:12" s="488" customFormat="1" ht="12.75" x14ac:dyDescent="0.2">
      <c r="A160" s="611">
        <v>41030</v>
      </c>
      <c r="B160" s="572" t="s">
        <v>825</v>
      </c>
      <c r="C160" s="609">
        <v>113.09</v>
      </c>
      <c r="D160" s="609">
        <v>52.43</v>
      </c>
      <c r="E160" s="609">
        <v>14.54</v>
      </c>
      <c r="F160" s="609">
        <v>80.66</v>
      </c>
      <c r="G160" s="609">
        <v>70.25</v>
      </c>
      <c r="H160" s="609">
        <v>330.97</v>
      </c>
      <c r="I160" s="601">
        <v>10.94</v>
      </c>
      <c r="J160" s="601">
        <v>7.73</v>
      </c>
      <c r="K160" s="601">
        <v>11.4</v>
      </c>
      <c r="L160" s="601">
        <v>11.39</v>
      </c>
    </row>
    <row r="161" spans="1:12" s="488" customFormat="1" ht="12.75" x14ac:dyDescent="0.2">
      <c r="A161" s="611">
        <v>41061</v>
      </c>
      <c r="B161" s="572" t="s">
        <v>825</v>
      </c>
      <c r="C161" s="609">
        <v>181.41</v>
      </c>
      <c r="D161" s="609">
        <v>58.64</v>
      </c>
      <c r="E161" s="609">
        <v>25.42</v>
      </c>
      <c r="F161" s="609">
        <v>84.02</v>
      </c>
      <c r="G161" s="609">
        <v>71.349999999999994</v>
      </c>
      <c r="H161" s="609">
        <v>420.84</v>
      </c>
      <c r="I161" s="601">
        <v>9.94</v>
      </c>
      <c r="J161" s="601">
        <v>10.52</v>
      </c>
      <c r="K161" s="601">
        <v>10.26</v>
      </c>
      <c r="L161" s="601">
        <v>10.25</v>
      </c>
    </row>
    <row r="162" spans="1:12" s="488" customFormat="1" ht="12.75" x14ac:dyDescent="0.2">
      <c r="A162" s="611">
        <v>41091</v>
      </c>
      <c r="B162" s="572" t="s">
        <v>825</v>
      </c>
      <c r="C162" s="609">
        <v>86.48</v>
      </c>
      <c r="D162" s="609">
        <v>58.55</v>
      </c>
      <c r="E162" s="609">
        <v>24.44</v>
      </c>
      <c r="F162" s="609">
        <v>24.75</v>
      </c>
      <c r="G162" s="609">
        <v>113.25</v>
      </c>
      <c r="H162" s="609">
        <v>307.47000000000003</v>
      </c>
      <c r="I162" s="601">
        <v>9.7100000000000009</v>
      </c>
      <c r="J162" s="601">
        <v>9.23</v>
      </c>
      <c r="K162" s="601">
        <v>10.84</v>
      </c>
      <c r="L162" s="601">
        <v>10.84</v>
      </c>
    </row>
    <row r="163" spans="1:12" s="488" customFormat="1" ht="12.75" x14ac:dyDescent="0.2">
      <c r="A163" s="611">
        <v>41122</v>
      </c>
      <c r="B163" s="572" t="s">
        <v>825</v>
      </c>
      <c r="C163" s="609">
        <v>107.15</v>
      </c>
      <c r="D163" s="609">
        <v>33.17</v>
      </c>
      <c r="E163" s="609">
        <v>1.25</v>
      </c>
      <c r="F163" s="609">
        <v>31.38</v>
      </c>
      <c r="G163" s="609">
        <v>73.5</v>
      </c>
      <c r="H163" s="609">
        <v>246.45</v>
      </c>
      <c r="I163" s="601">
        <v>11.2</v>
      </c>
      <c r="J163" s="601">
        <v>10.57</v>
      </c>
      <c r="K163" s="601">
        <v>10.93</v>
      </c>
      <c r="L163" s="601">
        <v>10.92</v>
      </c>
    </row>
    <row r="164" spans="1:12" s="488" customFormat="1" ht="12.75" x14ac:dyDescent="0.2">
      <c r="A164" s="611">
        <v>41153</v>
      </c>
      <c r="B164" s="572" t="s">
        <v>825</v>
      </c>
      <c r="C164" s="609">
        <v>133.09</v>
      </c>
      <c r="D164" s="609">
        <v>34.99</v>
      </c>
      <c r="E164" s="609">
        <v>20.9</v>
      </c>
      <c r="F164" s="609">
        <v>60.95</v>
      </c>
      <c r="G164" s="609">
        <v>91</v>
      </c>
      <c r="H164" s="609">
        <v>340.93</v>
      </c>
      <c r="I164" s="601">
        <v>12.09</v>
      </c>
      <c r="J164" s="601">
        <v>11.34</v>
      </c>
      <c r="K164" s="601">
        <v>11.01</v>
      </c>
      <c r="L164" s="601">
        <v>11.01</v>
      </c>
    </row>
    <row r="165" spans="1:12" s="488" customFormat="1" ht="12.75" x14ac:dyDescent="0.2">
      <c r="A165" s="611">
        <v>41183</v>
      </c>
      <c r="B165" s="572" t="s">
        <v>825</v>
      </c>
      <c r="C165" s="609">
        <v>146.74</v>
      </c>
      <c r="D165" s="609">
        <v>27.18</v>
      </c>
      <c r="E165" s="609">
        <v>80.89</v>
      </c>
      <c r="F165" s="609">
        <v>54.25</v>
      </c>
      <c r="G165" s="609">
        <v>103.7</v>
      </c>
      <c r="H165" s="609">
        <v>412.76</v>
      </c>
      <c r="I165" s="601">
        <v>11.28</v>
      </c>
      <c r="J165" s="601">
        <v>10.74</v>
      </c>
      <c r="K165" s="601">
        <v>10.45</v>
      </c>
      <c r="L165" s="601">
        <v>10.45</v>
      </c>
    </row>
    <row r="166" spans="1:12" s="488" customFormat="1" ht="12.75" x14ac:dyDescent="0.2">
      <c r="A166" s="611">
        <v>41214</v>
      </c>
      <c r="B166" s="572" t="s">
        <v>825</v>
      </c>
      <c r="C166" s="609">
        <v>81.819999999999993</v>
      </c>
      <c r="D166" s="609">
        <v>59.46</v>
      </c>
      <c r="E166" s="609">
        <v>24.96</v>
      </c>
      <c r="F166" s="609">
        <v>17.5</v>
      </c>
      <c r="G166" s="609">
        <v>61.35</v>
      </c>
      <c r="H166" s="609">
        <v>245.09</v>
      </c>
      <c r="I166" s="601">
        <v>10.73</v>
      </c>
      <c r="J166" s="601">
        <v>10.74</v>
      </c>
      <c r="K166" s="601">
        <v>10.39</v>
      </c>
      <c r="L166" s="601">
        <v>10.39</v>
      </c>
    </row>
    <row r="167" spans="1:12" s="488" customFormat="1" ht="12.75" x14ac:dyDescent="0.2">
      <c r="A167" s="611">
        <v>41244</v>
      </c>
      <c r="B167" s="572" t="s">
        <v>825</v>
      </c>
      <c r="C167" s="609">
        <v>107.4</v>
      </c>
      <c r="D167" s="609">
        <v>72.98</v>
      </c>
      <c r="E167" s="609">
        <v>9.1300000000000008</v>
      </c>
      <c r="F167" s="609">
        <v>30.51</v>
      </c>
      <c r="G167" s="609">
        <v>56.35</v>
      </c>
      <c r="H167" s="609">
        <v>276.37</v>
      </c>
      <c r="I167" s="601">
        <v>10.39</v>
      </c>
      <c r="J167" s="601">
        <v>10.27</v>
      </c>
      <c r="K167" s="601">
        <v>10.14</v>
      </c>
      <c r="L167" s="601">
        <v>10.14</v>
      </c>
    </row>
    <row r="168" spans="1:12" s="488" customFormat="1" ht="12.75" x14ac:dyDescent="0.2">
      <c r="A168" s="612">
        <v>41275</v>
      </c>
      <c r="B168" s="578" t="s">
        <v>825</v>
      </c>
      <c r="C168" s="608">
        <v>160.57</v>
      </c>
      <c r="D168" s="608">
        <v>53.58</v>
      </c>
      <c r="E168" s="608">
        <v>15.95</v>
      </c>
      <c r="F168" s="608">
        <v>44.55</v>
      </c>
      <c r="G168" s="608">
        <v>103.6</v>
      </c>
      <c r="H168" s="608">
        <v>378.25</v>
      </c>
      <c r="I168" s="603">
        <v>8.66</v>
      </c>
      <c r="J168" s="603">
        <v>8.33</v>
      </c>
      <c r="K168" s="603">
        <v>9.4700000000000006</v>
      </c>
      <c r="L168" s="603">
        <v>9.4600000000000009</v>
      </c>
    </row>
    <row r="169" spans="1:12" s="488" customFormat="1" ht="12.75" x14ac:dyDescent="0.2">
      <c r="A169" s="612">
        <v>41306</v>
      </c>
      <c r="B169" s="578" t="s">
        <v>825</v>
      </c>
      <c r="C169" s="608">
        <v>137.51</v>
      </c>
      <c r="D169" s="608">
        <v>90.76</v>
      </c>
      <c r="E169" s="608">
        <v>14.41</v>
      </c>
      <c r="F169" s="608">
        <v>27.61</v>
      </c>
      <c r="G169" s="608">
        <v>61.05</v>
      </c>
      <c r="H169" s="608">
        <v>331.34</v>
      </c>
      <c r="I169" s="603">
        <v>8.2899999999999991</v>
      </c>
      <c r="J169" s="603">
        <v>8.49</v>
      </c>
      <c r="K169" s="603">
        <v>8.89</v>
      </c>
      <c r="L169" s="603">
        <v>8.8800000000000008</v>
      </c>
    </row>
    <row r="170" spans="1:12" s="488" customFormat="1" ht="12.75" x14ac:dyDescent="0.2">
      <c r="A170" s="612">
        <v>41334</v>
      </c>
      <c r="B170" s="578" t="s">
        <v>825</v>
      </c>
      <c r="C170" s="608">
        <v>202.7</v>
      </c>
      <c r="D170" s="608">
        <v>89.64</v>
      </c>
      <c r="E170" s="608">
        <v>31.12</v>
      </c>
      <c r="F170" s="608">
        <v>42.6</v>
      </c>
      <c r="G170" s="608">
        <v>79.75</v>
      </c>
      <c r="H170" s="608">
        <v>445.81</v>
      </c>
      <c r="I170" s="603">
        <v>9.2799999999999994</v>
      </c>
      <c r="J170" s="603">
        <v>8.89</v>
      </c>
      <c r="K170" s="603">
        <v>8.8699999999999992</v>
      </c>
      <c r="L170" s="603">
        <v>8.8699999999999992</v>
      </c>
    </row>
    <row r="171" spans="1:12" s="488" customFormat="1" ht="12.75" x14ac:dyDescent="0.2">
      <c r="A171" s="612">
        <v>41365</v>
      </c>
      <c r="B171" s="578" t="s">
        <v>825</v>
      </c>
      <c r="C171" s="608">
        <v>214.16</v>
      </c>
      <c r="D171" s="608">
        <v>50.78</v>
      </c>
      <c r="E171" s="608">
        <v>13.06</v>
      </c>
      <c r="F171" s="608">
        <v>52.2</v>
      </c>
      <c r="G171" s="608">
        <v>102.3</v>
      </c>
      <c r="H171" s="608">
        <v>432.5</v>
      </c>
      <c r="I171" s="603">
        <v>9.33</v>
      </c>
      <c r="J171" s="603">
        <v>9.58</v>
      </c>
      <c r="K171" s="603">
        <v>8.9600000000000009</v>
      </c>
      <c r="L171" s="603">
        <v>8.9600000000000009</v>
      </c>
    </row>
    <row r="172" spans="1:12" s="488" customFormat="1" ht="12.75" x14ac:dyDescent="0.2">
      <c r="A172" s="612">
        <v>41395</v>
      </c>
      <c r="B172" s="578" t="s">
        <v>825</v>
      </c>
      <c r="C172" s="608">
        <v>187.99</v>
      </c>
      <c r="D172" s="608">
        <v>97.71</v>
      </c>
      <c r="E172" s="608">
        <v>38.4</v>
      </c>
      <c r="F172" s="608">
        <v>46.75</v>
      </c>
      <c r="G172" s="608">
        <v>132.35</v>
      </c>
      <c r="H172" s="608">
        <v>503.2</v>
      </c>
      <c r="I172" s="603">
        <v>8.65</v>
      </c>
      <c r="J172" s="603">
        <v>7.85</v>
      </c>
      <c r="K172" s="603">
        <v>8.66</v>
      </c>
      <c r="L172" s="603">
        <v>8.65</v>
      </c>
    </row>
    <row r="173" spans="1:12" s="488" customFormat="1" ht="12.75" x14ac:dyDescent="0.2">
      <c r="A173" s="612">
        <v>41426</v>
      </c>
      <c r="B173" s="578" t="s">
        <v>825</v>
      </c>
      <c r="C173" s="608">
        <v>231.47</v>
      </c>
      <c r="D173" s="608">
        <v>79.150000000000006</v>
      </c>
      <c r="E173" s="608">
        <v>6.41</v>
      </c>
      <c r="F173" s="608">
        <v>43.35</v>
      </c>
      <c r="G173" s="608">
        <v>92.85</v>
      </c>
      <c r="H173" s="608">
        <v>453.23</v>
      </c>
      <c r="I173" s="603">
        <v>7.5</v>
      </c>
      <c r="J173" s="603">
        <v>6.75</v>
      </c>
      <c r="K173" s="603">
        <v>8.4</v>
      </c>
      <c r="L173" s="603">
        <v>8.4</v>
      </c>
    </row>
    <row r="174" spans="1:12" s="488" customFormat="1" ht="12.75" x14ac:dyDescent="0.2">
      <c r="A174" s="612">
        <v>41456</v>
      </c>
      <c r="B174" s="578" t="s">
        <v>825</v>
      </c>
      <c r="C174" s="608">
        <v>370.73</v>
      </c>
      <c r="D174" s="608">
        <v>84.74</v>
      </c>
      <c r="E174" s="608">
        <v>19.100000000000001</v>
      </c>
      <c r="F174" s="608">
        <v>62.63</v>
      </c>
      <c r="G174" s="608">
        <v>62.5</v>
      </c>
      <c r="H174" s="608">
        <v>599.70000000000005</v>
      </c>
      <c r="I174" s="603">
        <v>7.6</v>
      </c>
      <c r="J174" s="603">
        <v>7.29</v>
      </c>
      <c r="K174" s="603">
        <v>8.3699999999999992</v>
      </c>
      <c r="L174" s="603">
        <v>8.36</v>
      </c>
    </row>
    <row r="175" spans="1:12" s="488" customFormat="1" ht="12.75" x14ac:dyDescent="0.2">
      <c r="A175" s="612">
        <v>41487</v>
      </c>
      <c r="B175" s="578" t="s">
        <v>825</v>
      </c>
      <c r="C175" s="608">
        <v>368.84</v>
      </c>
      <c r="D175" s="608">
        <v>54.55</v>
      </c>
      <c r="E175" s="608">
        <v>18.5</v>
      </c>
      <c r="F175" s="608">
        <v>67.989999999999995</v>
      </c>
      <c r="G175" s="608">
        <v>40.31</v>
      </c>
      <c r="H175" s="608">
        <v>550.19000000000005</v>
      </c>
      <c r="I175" s="603">
        <v>9.36</v>
      </c>
      <c r="J175" s="603">
        <v>8.2100000000000009</v>
      </c>
      <c r="K175" s="603">
        <v>8.35</v>
      </c>
      <c r="L175" s="603">
        <v>8.35</v>
      </c>
    </row>
    <row r="176" spans="1:12" s="488" customFormat="1" ht="12.75" x14ac:dyDescent="0.2">
      <c r="A176" s="612">
        <v>41518</v>
      </c>
      <c r="B176" s="578" t="s">
        <v>825</v>
      </c>
      <c r="C176" s="608">
        <v>199.9</v>
      </c>
      <c r="D176" s="608">
        <v>52.81</v>
      </c>
      <c r="E176" s="608">
        <v>3.97</v>
      </c>
      <c r="F176" s="608">
        <v>17.04</v>
      </c>
      <c r="G176" s="608">
        <v>30.5</v>
      </c>
      <c r="H176" s="608">
        <v>304.22000000000003</v>
      </c>
      <c r="I176" s="603">
        <v>7.86</v>
      </c>
      <c r="J176" s="603">
        <v>8.09</v>
      </c>
      <c r="K176" s="603">
        <v>8.35</v>
      </c>
      <c r="L176" s="603">
        <v>8.35</v>
      </c>
    </row>
    <row r="177" spans="1:12" s="488" customFormat="1" ht="12.75" x14ac:dyDescent="0.2">
      <c r="A177" s="612">
        <v>41548</v>
      </c>
      <c r="B177" s="578" t="s">
        <v>825</v>
      </c>
      <c r="C177" s="608">
        <v>221.66</v>
      </c>
      <c r="D177" s="608">
        <v>70.73</v>
      </c>
      <c r="E177" s="608">
        <v>29.65</v>
      </c>
      <c r="F177" s="608">
        <v>26.65</v>
      </c>
      <c r="G177" s="608">
        <v>51.75</v>
      </c>
      <c r="H177" s="608">
        <v>400.44</v>
      </c>
      <c r="I177" s="603">
        <v>7.94</v>
      </c>
      <c r="J177" s="603">
        <v>7.44</v>
      </c>
      <c r="K177" s="603">
        <v>8.8699999999999992</v>
      </c>
      <c r="L177" s="603">
        <v>8.8699999999999992</v>
      </c>
    </row>
    <row r="178" spans="1:12" s="488" customFormat="1" ht="12.75" x14ac:dyDescent="0.2">
      <c r="A178" s="612">
        <v>41579</v>
      </c>
      <c r="B178" s="578" t="s">
        <v>825</v>
      </c>
      <c r="C178" s="608">
        <v>318.06</v>
      </c>
      <c r="D178" s="608">
        <v>71.91</v>
      </c>
      <c r="E178" s="608">
        <v>8.1199999999999992</v>
      </c>
      <c r="F178" s="608">
        <v>25.8</v>
      </c>
      <c r="G178" s="608">
        <v>91.95</v>
      </c>
      <c r="H178" s="608">
        <v>515.84</v>
      </c>
      <c r="I178" s="603">
        <v>8.0399999999999991</v>
      </c>
      <c r="J178" s="603">
        <v>7.64</v>
      </c>
      <c r="K178" s="603">
        <v>8.7799999999999994</v>
      </c>
      <c r="L178" s="603">
        <v>8.7799999999999994</v>
      </c>
    </row>
    <row r="179" spans="1:12" s="488" customFormat="1" ht="12.75" x14ac:dyDescent="0.2">
      <c r="A179" s="612">
        <v>41609</v>
      </c>
      <c r="B179" s="578" t="s">
        <v>825</v>
      </c>
      <c r="C179" s="608">
        <v>264.64</v>
      </c>
      <c r="D179" s="608">
        <v>61.25</v>
      </c>
      <c r="E179" s="608">
        <v>32.71</v>
      </c>
      <c r="F179" s="608">
        <v>27.9</v>
      </c>
      <c r="G179" s="608">
        <v>72</v>
      </c>
      <c r="H179" s="608">
        <v>458.5</v>
      </c>
      <c r="I179" s="603">
        <v>5.12</v>
      </c>
      <c r="J179" s="603">
        <v>4.78</v>
      </c>
      <c r="K179" s="603">
        <v>7.55</v>
      </c>
      <c r="L179" s="603">
        <v>7.55</v>
      </c>
    </row>
    <row r="180" spans="1:12" s="488" customFormat="1" ht="12.75" x14ac:dyDescent="0.2">
      <c r="A180" s="611">
        <v>41640</v>
      </c>
      <c r="B180" s="572" t="s">
        <v>825</v>
      </c>
      <c r="C180" s="609">
        <v>297.33</v>
      </c>
      <c r="D180" s="609">
        <v>82.05</v>
      </c>
      <c r="E180" s="609">
        <v>32.93</v>
      </c>
      <c r="F180" s="609">
        <v>28.61</v>
      </c>
      <c r="G180" s="609">
        <v>83.5</v>
      </c>
      <c r="H180" s="609">
        <v>524.41999999999996</v>
      </c>
      <c r="I180" s="601">
        <v>3.17</v>
      </c>
      <c r="J180" s="601">
        <v>3.41</v>
      </c>
      <c r="K180" s="601">
        <v>6.78</v>
      </c>
      <c r="L180" s="601">
        <v>6.78</v>
      </c>
    </row>
    <row r="181" spans="1:12" s="488" customFormat="1" ht="12.75" x14ac:dyDescent="0.2">
      <c r="A181" s="611">
        <v>41671</v>
      </c>
      <c r="B181" s="572" t="s">
        <v>825</v>
      </c>
      <c r="C181" s="609">
        <v>288.43</v>
      </c>
      <c r="D181" s="609">
        <v>71.150000000000006</v>
      </c>
      <c r="E181" s="609">
        <v>20.9</v>
      </c>
      <c r="F181" s="609">
        <v>57.4</v>
      </c>
      <c r="G181" s="609">
        <v>96.25</v>
      </c>
      <c r="H181" s="609">
        <v>534.13</v>
      </c>
      <c r="I181" s="601">
        <v>4.78</v>
      </c>
      <c r="J181" s="601">
        <v>4.41</v>
      </c>
      <c r="K181" s="601">
        <v>6.54</v>
      </c>
      <c r="L181" s="601">
        <v>6.54</v>
      </c>
    </row>
    <row r="182" spans="1:12" s="488" customFormat="1" ht="12.75" x14ac:dyDescent="0.2">
      <c r="A182" s="611">
        <v>41699</v>
      </c>
      <c r="B182" s="572" t="s">
        <v>825</v>
      </c>
      <c r="C182" s="609">
        <v>266.39999999999998</v>
      </c>
      <c r="D182" s="609">
        <v>89.36</v>
      </c>
      <c r="E182" s="609">
        <v>12.36</v>
      </c>
      <c r="F182" s="609">
        <v>33.75</v>
      </c>
      <c r="G182" s="609">
        <v>63.75</v>
      </c>
      <c r="H182" s="609">
        <v>465.62</v>
      </c>
      <c r="I182" s="601">
        <v>4.97</v>
      </c>
      <c r="J182" s="601">
        <v>4.91</v>
      </c>
      <c r="K182" s="601">
        <v>6.45</v>
      </c>
      <c r="L182" s="601">
        <v>6.44</v>
      </c>
    </row>
    <row r="183" spans="1:12" s="488" customFormat="1" ht="12.75" x14ac:dyDescent="0.2">
      <c r="A183" s="611">
        <v>41730</v>
      </c>
      <c r="B183" s="572" t="s">
        <v>825</v>
      </c>
      <c r="C183" s="609">
        <v>243.9</v>
      </c>
      <c r="D183" s="609">
        <v>72.3</v>
      </c>
      <c r="E183" s="609">
        <v>28.75</v>
      </c>
      <c r="F183" s="609">
        <v>34</v>
      </c>
      <c r="G183" s="609">
        <v>74.45</v>
      </c>
      <c r="H183" s="609">
        <v>453.4</v>
      </c>
      <c r="I183" s="601">
        <v>4.91</v>
      </c>
      <c r="J183" s="601">
        <v>5.31</v>
      </c>
      <c r="K183" s="601">
        <v>6.38</v>
      </c>
      <c r="L183" s="601">
        <v>6.38</v>
      </c>
    </row>
    <row r="184" spans="1:12" s="488" customFormat="1" ht="12.75" x14ac:dyDescent="0.2">
      <c r="A184" s="611">
        <v>41760</v>
      </c>
      <c r="B184" s="572" t="s">
        <v>825</v>
      </c>
      <c r="C184" s="609">
        <v>276.43</v>
      </c>
      <c r="D184" s="609">
        <v>124.33</v>
      </c>
      <c r="E184" s="609">
        <v>21.88</v>
      </c>
      <c r="F184" s="609">
        <v>63.85</v>
      </c>
      <c r="G184" s="609">
        <v>107.25</v>
      </c>
      <c r="H184" s="609">
        <v>593.74</v>
      </c>
      <c r="I184" s="601">
        <v>4.41</v>
      </c>
      <c r="J184" s="601">
        <v>4.38</v>
      </c>
      <c r="K184" s="601">
        <v>6.37</v>
      </c>
      <c r="L184" s="601">
        <v>6.37</v>
      </c>
    </row>
    <row r="185" spans="1:12" s="488" customFormat="1" ht="12.75" x14ac:dyDescent="0.2">
      <c r="A185" s="611">
        <v>41791</v>
      </c>
      <c r="B185" s="572" t="s">
        <v>825</v>
      </c>
      <c r="C185" s="609">
        <v>246.57</v>
      </c>
      <c r="D185" s="609">
        <v>141.74</v>
      </c>
      <c r="E185" s="609">
        <v>12.51</v>
      </c>
      <c r="F185" s="609">
        <v>42.07</v>
      </c>
      <c r="G185" s="609">
        <v>88.5</v>
      </c>
      <c r="H185" s="609">
        <v>531.39</v>
      </c>
      <c r="I185" s="601">
        <v>3.91</v>
      </c>
      <c r="J185" s="601">
        <v>3.97</v>
      </c>
      <c r="K185" s="601">
        <v>6.31</v>
      </c>
      <c r="L185" s="601">
        <v>6.3</v>
      </c>
    </row>
    <row r="186" spans="1:12" s="488" customFormat="1" ht="12.75" x14ac:dyDescent="0.2">
      <c r="A186" s="611">
        <v>41821</v>
      </c>
      <c r="B186" s="572" t="s">
        <v>825</v>
      </c>
      <c r="C186" s="609">
        <v>331.6</v>
      </c>
      <c r="D186" s="609">
        <v>192</v>
      </c>
      <c r="E186" s="609">
        <v>8.0399999999999991</v>
      </c>
      <c r="F186" s="609">
        <v>49.53</v>
      </c>
      <c r="G186" s="609">
        <v>198.98</v>
      </c>
      <c r="H186" s="609">
        <v>780.15</v>
      </c>
      <c r="I186" s="601">
        <v>2.13</v>
      </c>
      <c r="J186" s="601">
        <v>2.54</v>
      </c>
      <c r="K186" s="601">
        <v>6.23</v>
      </c>
      <c r="L186" s="601">
        <v>6.23</v>
      </c>
    </row>
    <row r="187" spans="1:12" s="488" customFormat="1" ht="12.75" x14ac:dyDescent="0.2">
      <c r="A187" s="611">
        <v>41852</v>
      </c>
      <c r="B187" s="572" t="s">
        <v>825</v>
      </c>
      <c r="C187" s="609">
        <v>222</v>
      </c>
      <c r="D187" s="609">
        <v>131.6</v>
      </c>
      <c r="E187" s="609">
        <v>23.82</v>
      </c>
      <c r="F187" s="609">
        <v>103.97</v>
      </c>
      <c r="G187" s="609">
        <v>52.5</v>
      </c>
      <c r="H187" s="609">
        <v>533.89</v>
      </c>
      <c r="I187" s="601">
        <v>2.9</v>
      </c>
      <c r="J187" s="601">
        <v>2.78</v>
      </c>
      <c r="K187" s="601">
        <v>3.66</v>
      </c>
      <c r="L187" s="601">
        <v>3.66</v>
      </c>
    </row>
    <row r="188" spans="1:12" s="488" customFormat="1" ht="12.75" x14ac:dyDescent="0.2">
      <c r="A188" s="611">
        <v>41883</v>
      </c>
      <c r="B188" s="572" t="s">
        <v>825</v>
      </c>
      <c r="C188" s="609">
        <v>306.26</v>
      </c>
      <c r="D188" s="609">
        <v>86.25</v>
      </c>
      <c r="E188" s="609">
        <v>6.59</v>
      </c>
      <c r="F188" s="609">
        <v>25.58</v>
      </c>
      <c r="G188" s="609">
        <v>110.23</v>
      </c>
      <c r="H188" s="609">
        <v>534.91</v>
      </c>
      <c r="I188" s="601">
        <v>4.2300000000000004</v>
      </c>
      <c r="J188" s="601">
        <v>3.34</v>
      </c>
      <c r="K188" s="601">
        <v>4.1399999999999997</v>
      </c>
      <c r="L188" s="601">
        <v>4.1399999999999997</v>
      </c>
    </row>
    <row r="189" spans="1:12" s="488" customFormat="1" ht="12.75" x14ac:dyDescent="0.2">
      <c r="A189" s="611">
        <v>41913</v>
      </c>
      <c r="B189" s="572" t="s">
        <v>825</v>
      </c>
      <c r="C189" s="609">
        <v>219.75</v>
      </c>
      <c r="D189" s="609">
        <v>120</v>
      </c>
      <c r="E189" s="609">
        <v>48.09</v>
      </c>
      <c r="F189" s="609">
        <v>29.5</v>
      </c>
      <c r="G189" s="609">
        <v>130.75</v>
      </c>
      <c r="H189" s="609">
        <v>548.09</v>
      </c>
      <c r="I189" s="601">
        <v>4.4800000000000004</v>
      </c>
      <c r="J189" s="601">
        <v>3.65</v>
      </c>
      <c r="K189" s="601">
        <v>5.33</v>
      </c>
      <c r="L189" s="601">
        <v>5.32</v>
      </c>
    </row>
    <row r="190" spans="1:12" s="488" customFormat="1" ht="12.75" x14ac:dyDescent="0.2">
      <c r="A190" s="611">
        <v>41944</v>
      </c>
      <c r="B190" s="572" t="s">
        <v>825</v>
      </c>
      <c r="C190" s="609">
        <v>348.76</v>
      </c>
      <c r="D190" s="609">
        <v>51.5</v>
      </c>
      <c r="E190" s="609">
        <v>18.03</v>
      </c>
      <c r="F190" s="609">
        <v>59.09</v>
      </c>
      <c r="G190" s="609">
        <v>84</v>
      </c>
      <c r="H190" s="609">
        <v>561.38</v>
      </c>
      <c r="I190" s="601">
        <v>5.53</v>
      </c>
      <c r="J190" s="601">
        <v>5.07</v>
      </c>
      <c r="K190" s="601">
        <v>5.33</v>
      </c>
      <c r="L190" s="601">
        <v>5.33</v>
      </c>
    </row>
    <row r="191" spans="1:12" s="488" customFormat="1" ht="12.75" x14ac:dyDescent="0.2">
      <c r="A191" s="611">
        <v>41974</v>
      </c>
      <c r="B191" s="572" t="s">
        <v>825</v>
      </c>
      <c r="C191" s="609">
        <v>440.44</v>
      </c>
      <c r="D191" s="609">
        <v>78.8</v>
      </c>
      <c r="E191" s="609">
        <v>7.69</v>
      </c>
      <c r="F191" s="609">
        <v>35.4</v>
      </c>
      <c r="G191" s="609">
        <v>64</v>
      </c>
      <c r="H191" s="609">
        <v>626.33000000000004</v>
      </c>
      <c r="I191" s="601">
        <v>8.82</v>
      </c>
      <c r="J191" s="601">
        <v>4.8899999999999997</v>
      </c>
      <c r="K191" s="601">
        <v>5.3</v>
      </c>
      <c r="L191" s="601">
        <v>5.3</v>
      </c>
    </row>
    <row r="192" spans="1:12" s="488" customFormat="1" ht="12.75" x14ac:dyDescent="0.2">
      <c r="A192" s="612">
        <v>42005</v>
      </c>
      <c r="B192" s="578" t="s">
        <v>825</v>
      </c>
      <c r="C192" s="608">
        <v>424.86</v>
      </c>
      <c r="D192" s="608">
        <v>137.15</v>
      </c>
      <c r="E192" s="608">
        <v>2.6</v>
      </c>
      <c r="F192" s="608">
        <v>30</v>
      </c>
      <c r="G192" s="608">
        <v>59.9</v>
      </c>
      <c r="H192" s="608">
        <v>654.51</v>
      </c>
      <c r="I192" s="603">
        <v>10.49</v>
      </c>
      <c r="J192" s="603">
        <v>6.27</v>
      </c>
      <c r="K192" s="603">
        <v>5.34</v>
      </c>
      <c r="L192" s="603">
        <v>5.34</v>
      </c>
    </row>
    <row r="193" spans="1:12" s="488" customFormat="1" ht="12.75" x14ac:dyDescent="0.2">
      <c r="A193" s="612">
        <v>42036</v>
      </c>
      <c r="B193" s="578" t="s">
        <v>825</v>
      </c>
      <c r="C193" s="608">
        <v>330.9</v>
      </c>
      <c r="D193" s="608">
        <v>78.5</v>
      </c>
      <c r="E193" s="608">
        <v>3</v>
      </c>
      <c r="F193" s="608">
        <v>23.5</v>
      </c>
      <c r="G193" s="608">
        <v>48.75</v>
      </c>
      <c r="H193" s="608">
        <v>484.65</v>
      </c>
      <c r="I193" s="603">
        <v>6.36</v>
      </c>
      <c r="J193" s="603">
        <v>5.37</v>
      </c>
      <c r="K193" s="603">
        <v>5.54</v>
      </c>
      <c r="L193" s="603">
        <v>5.54</v>
      </c>
    </row>
    <row r="194" spans="1:12" s="488" customFormat="1" ht="12.75" x14ac:dyDescent="0.2">
      <c r="A194" s="612">
        <v>42064</v>
      </c>
      <c r="B194" s="578" t="s">
        <v>825</v>
      </c>
      <c r="C194" s="608">
        <v>293.60000000000002</v>
      </c>
      <c r="D194" s="608">
        <v>178.96</v>
      </c>
      <c r="E194" s="608">
        <v>46.5</v>
      </c>
      <c r="F194" s="608">
        <v>26</v>
      </c>
      <c r="G194" s="608">
        <v>110.1</v>
      </c>
      <c r="H194" s="608">
        <v>655.16</v>
      </c>
      <c r="I194" s="603">
        <v>7.01</v>
      </c>
      <c r="J194" s="603">
        <v>5.77</v>
      </c>
      <c r="K194" s="603">
        <v>5.54</v>
      </c>
      <c r="L194" s="603">
        <v>5.54</v>
      </c>
    </row>
    <row r="195" spans="1:12" s="488" customFormat="1" ht="12.75" x14ac:dyDescent="0.2">
      <c r="A195" s="612">
        <v>42095</v>
      </c>
      <c r="B195" s="578" t="s">
        <v>825</v>
      </c>
      <c r="C195" s="608">
        <v>364.28</v>
      </c>
      <c r="D195" s="608">
        <v>131.55000000000001</v>
      </c>
      <c r="E195" s="608">
        <v>26.88</v>
      </c>
      <c r="F195" s="608">
        <v>10.25</v>
      </c>
      <c r="G195" s="608">
        <v>69.349999999999994</v>
      </c>
      <c r="H195" s="608">
        <v>602.30999999999995</v>
      </c>
      <c r="I195" s="603">
        <v>7.9</v>
      </c>
      <c r="J195" s="603">
        <v>5.83</v>
      </c>
      <c r="K195" s="603">
        <v>5.92</v>
      </c>
      <c r="L195" s="603">
        <v>5.91</v>
      </c>
    </row>
    <row r="196" spans="1:12" s="488" customFormat="1" ht="12.75" x14ac:dyDescent="0.2">
      <c r="A196" s="612">
        <v>42125</v>
      </c>
      <c r="B196" s="578" t="s">
        <v>825</v>
      </c>
      <c r="C196" s="608">
        <v>98.18</v>
      </c>
      <c r="D196" s="608">
        <v>146.44999999999999</v>
      </c>
      <c r="E196" s="608">
        <v>77.400000000000006</v>
      </c>
      <c r="F196" s="608">
        <v>114.1</v>
      </c>
      <c r="G196" s="608">
        <v>79.400000000000006</v>
      </c>
      <c r="H196" s="608">
        <v>515.53</v>
      </c>
      <c r="I196" s="603">
        <v>6.19</v>
      </c>
      <c r="J196" s="603">
        <v>7.3</v>
      </c>
      <c r="K196" s="603">
        <v>5.98</v>
      </c>
      <c r="L196" s="603">
        <v>5.98</v>
      </c>
    </row>
    <row r="197" spans="1:12" s="488" customFormat="1" ht="12.75" x14ac:dyDescent="0.2">
      <c r="A197" s="612">
        <v>42156</v>
      </c>
      <c r="B197" s="578" t="s">
        <v>825</v>
      </c>
      <c r="C197" s="608">
        <v>166.25</v>
      </c>
      <c r="D197" s="608">
        <v>128.9</v>
      </c>
      <c r="E197" s="608">
        <v>46.35</v>
      </c>
      <c r="F197" s="608">
        <v>63.95</v>
      </c>
      <c r="G197" s="608">
        <v>106.5</v>
      </c>
      <c r="H197" s="608">
        <v>511.95</v>
      </c>
      <c r="I197" s="603">
        <v>4.68</v>
      </c>
      <c r="J197" s="603">
        <v>5.29</v>
      </c>
      <c r="K197" s="603">
        <v>5.97</v>
      </c>
      <c r="L197" s="603">
        <v>5.97</v>
      </c>
    </row>
    <row r="198" spans="1:12" s="488" customFormat="1" ht="12.75" x14ac:dyDescent="0.2">
      <c r="A198" s="612">
        <v>42186</v>
      </c>
      <c r="B198" s="578" t="s">
        <v>825</v>
      </c>
      <c r="C198" s="608">
        <v>176.89</v>
      </c>
      <c r="D198" s="608">
        <v>132.44999999999999</v>
      </c>
      <c r="E198" s="608">
        <v>29</v>
      </c>
      <c r="F198" s="608">
        <v>62.4</v>
      </c>
      <c r="G198" s="608">
        <v>114.6</v>
      </c>
      <c r="H198" s="608">
        <v>515.34</v>
      </c>
      <c r="I198" s="603">
        <v>4.8600000000000003</v>
      </c>
      <c r="J198" s="603">
        <v>5.07</v>
      </c>
      <c r="K198" s="603">
        <v>5.83</v>
      </c>
      <c r="L198" s="603">
        <v>5.82</v>
      </c>
    </row>
    <row r="199" spans="1:12" s="488" customFormat="1" ht="12.75" x14ac:dyDescent="0.2">
      <c r="A199" s="612">
        <v>42217</v>
      </c>
      <c r="B199" s="578" t="s">
        <v>825</v>
      </c>
      <c r="C199" s="608">
        <v>146.56</v>
      </c>
      <c r="D199" s="608">
        <v>122.3</v>
      </c>
      <c r="E199" s="608">
        <v>40.25</v>
      </c>
      <c r="F199" s="608">
        <v>46.25</v>
      </c>
      <c r="G199" s="608">
        <v>167.25</v>
      </c>
      <c r="H199" s="608">
        <v>522.61</v>
      </c>
      <c r="I199" s="603">
        <v>5.28</v>
      </c>
      <c r="J199" s="603">
        <v>5.1100000000000003</v>
      </c>
      <c r="K199" s="603">
        <v>5.83</v>
      </c>
      <c r="L199" s="603">
        <v>5.82</v>
      </c>
    </row>
    <row r="200" spans="1:12" s="488" customFormat="1" ht="12.75" x14ac:dyDescent="0.2">
      <c r="A200" s="612">
        <v>42248</v>
      </c>
      <c r="B200" s="578" t="s">
        <v>825</v>
      </c>
      <c r="C200" s="608">
        <v>138.07</v>
      </c>
      <c r="D200" s="608">
        <v>101.77</v>
      </c>
      <c r="E200" s="608">
        <v>26.27</v>
      </c>
      <c r="F200" s="608">
        <v>56.76</v>
      </c>
      <c r="G200" s="608">
        <v>140.25</v>
      </c>
      <c r="H200" s="608">
        <v>463.12</v>
      </c>
      <c r="I200" s="603">
        <v>5.56</v>
      </c>
      <c r="J200" s="603">
        <v>5.41</v>
      </c>
      <c r="K200" s="603">
        <v>6.42</v>
      </c>
      <c r="L200" s="603">
        <v>6.42</v>
      </c>
    </row>
    <row r="201" spans="1:12" s="488" customFormat="1" ht="12.75" x14ac:dyDescent="0.2">
      <c r="A201" s="612">
        <v>42278</v>
      </c>
      <c r="B201" s="578" t="s">
        <v>825</v>
      </c>
      <c r="C201" s="608">
        <v>290.66000000000003</v>
      </c>
      <c r="D201" s="608">
        <v>144.5</v>
      </c>
      <c r="E201" s="608">
        <v>54.25</v>
      </c>
      <c r="F201" s="608">
        <v>49.9</v>
      </c>
      <c r="G201" s="608">
        <v>70</v>
      </c>
      <c r="H201" s="608">
        <v>609.30999999999995</v>
      </c>
      <c r="I201" s="603">
        <v>4.7300000000000004</v>
      </c>
      <c r="J201" s="603">
        <v>4.84</v>
      </c>
      <c r="K201" s="603">
        <v>6.45</v>
      </c>
      <c r="L201" s="603">
        <v>6.45</v>
      </c>
    </row>
    <row r="202" spans="1:12" s="488" customFormat="1" ht="12.75" x14ac:dyDescent="0.2">
      <c r="A202" s="612">
        <v>42309</v>
      </c>
      <c r="B202" s="578" t="s">
        <v>825</v>
      </c>
      <c r="C202" s="608">
        <v>147.66999999999999</v>
      </c>
      <c r="D202" s="608">
        <v>208.21</v>
      </c>
      <c r="E202" s="608">
        <v>66.05</v>
      </c>
      <c r="F202" s="608">
        <v>68</v>
      </c>
      <c r="G202" s="608">
        <v>73.25</v>
      </c>
      <c r="H202" s="608">
        <v>563.17999999999995</v>
      </c>
      <c r="I202" s="603">
        <v>3.29</v>
      </c>
      <c r="J202" s="603">
        <v>3.48</v>
      </c>
      <c r="K202" s="603">
        <v>6.45</v>
      </c>
      <c r="L202" s="603">
        <v>6.45</v>
      </c>
    </row>
    <row r="203" spans="1:12" s="488" customFormat="1" ht="12.75" x14ac:dyDescent="0.2">
      <c r="A203" s="612">
        <v>42339</v>
      </c>
      <c r="B203" s="578" t="s">
        <v>825</v>
      </c>
      <c r="C203" s="608">
        <v>225.06</v>
      </c>
      <c r="D203" s="608">
        <v>125.4</v>
      </c>
      <c r="E203" s="608">
        <v>31.58</v>
      </c>
      <c r="F203" s="608">
        <v>136.18</v>
      </c>
      <c r="G203" s="608">
        <v>96.75</v>
      </c>
      <c r="H203" s="608">
        <v>614.97</v>
      </c>
      <c r="I203" s="603">
        <v>4.8499999999999996</v>
      </c>
      <c r="J203" s="603">
        <v>4.13</v>
      </c>
      <c r="K203" s="603">
        <v>5.76</v>
      </c>
      <c r="L203" s="603">
        <v>5.76</v>
      </c>
    </row>
    <row r="204" spans="1:12" s="488" customFormat="1" ht="12.75" x14ac:dyDescent="0.2">
      <c r="A204" s="611">
        <v>42370</v>
      </c>
      <c r="B204" s="572" t="s">
        <v>825</v>
      </c>
      <c r="C204" s="609">
        <v>197.45</v>
      </c>
      <c r="D204" s="609">
        <v>169.25</v>
      </c>
      <c r="E204" s="609">
        <v>52.56</v>
      </c>
      <c r="F204" s="609">
        <v>36.5</v>
      </c>
      <c r="G204" s="609">
        <v>120</v>
      </c>
      <c r="H204" s="609">
        <v>575.76</v>
      </c>
      <c r="I204" s="601">
        <v>6.19</v>
      </c>
      <c r="J204" s="601">
        <v>5.25</v>
      </c>
      <c r="K204" s="601">
        <v>5.98</v>
      </c>
      <c r="L204" s="601">
        <v>5.97</v>
      </c>
    </row>
    <row r="205" spans="1:12" s="488" customFormat="1" ht="12.75" x14ac:dyDescent="0.2">
      <c r="A205" s="611">
        <v>42401</v>
      </c>
      <c r="B205" s="572" t="s">
        <v>825</v>
      </c>
      <c r="C205" s="609">
        <v>369.71</v>
      </c>
      <c r="D205" s="609">
        <v>138.94999999999999</v>
      </c>
      <c r="E205" s="609">
        <v>31.28</v>
      </c>
      <c r="F205" s="609">
        <v>29</v>
      </c>
      <c r="G205" s="609">
        <v>127.25</v>
      </c>
      <c r="H205" s="609">
        <v>696.19</v>
      </c>
      <c r="I205" s="601">
        <v>6.01</v>
      </c>
      <c r="J205" s="601">
        <v>5.64</v>
      </c>
      <c r="K205" s="601">
        <v>6.31</v>
      </c>
      <c r="L205" s="601">
        <v>6.3</v>
      </c>
    </row>
    <row r="206" spans="1:12" s="488" customFormat="1" ht="12.75" x14ac:dyDescent="0.2">
      <c r="A206" s="611">
        <v>42430</v>
      </c>
      <c r="B206" s="572" t="s">
        <v>825</v>
      </c>
      <c r="C206" s="609">
        <v>511.13</v>
      </c>
      <c r="D206" s="609">
        <v>188.28</v>
      </c>
      <c r="E206" s="609">
        <v>7.33</v>
      </c>
      <c r="F206" s="609">
        <v>29</v>
      </c>
      <c r="G206" s="609">
        <v>105.25</v>
      </c>
      <c r="H206" s="609">
        <v>840.99</v>
      </c>
      <c r="I206" s="601">
        <v>8.6300000000000008</v>
      </c>
      <c r="J206" s="601">
        <v>9.9</v>
      </c>
      <c r="K206" s="601">
        <v>6.94</v>
      </c>
      <c r="L206" s="601">
        <v>6.93</v>
      </c>
    </row>
    <row r="207" spans="1:12" s="488" customFormat="1" ht="12.75" x14ac:dyDescent="0.2">
      <c r="A207" s="611">
        <v>42461</v>
      </c>
      <c r="B207" s="572" t="s">
        <v>825</v>
      </c>
      <c r="C207" s="609">
        <v>357.07</v>
      </c>
      <c r="D207" s="609">
        <v>185.61</v>
      </c>
      <c r="E207" s="609">
        <v>15.75</v>
      </c>
      <c r="F207" s="609">
        <v>71.5</v>
      </c>
      <c r="G207" s="609">
        <v>71.5</v>
      </c>
      <c r="H207" s="609">
        <v>701.43</v>
      </c>
      <c r="I207" s="601">
        <v>13.84</v>
      </c>
      <c r="J207" s="601">
        <v>9.5</v>
      </c>
      <c r="K207" s="601">
        <v>7.96</v>
      </c>
      <c r="L207" s="601">
        <v>7.95</v>
      </c>
    </row>
    <row r="208" spans="1:12" s="488" customFormat="1" ht="12.75" x14ac:dyDescent="0.2">
      <c r="A208" s="611">
        <v>42491</v>
      </c>
      <c r="B208" s="572" t="s">
        <v>825</v>
      </c>
      <c r="C208" s="609">
        <v>475.87</v>
      </c>
      <c r="D208" s="609">
        <v>117.31</v>
      </c>
      <c r="E208" s="609">
        <v>19.52</v>
      </c>
      <c r="F208" s="609">
        <v>79.7</v>
      </c>
      <c r="G208" s="609">
        <v>89.45</v>
      </c>
      <c r="H208" s="609">
        <v>781.85</v>
      </c>
      <c r="I208" s="601">
        <v>11.95</v>
      </c>
      <c r="J208" s="601">
        <v>7.54</v>
      </c>
      <c r="K208" s="601">
        <v>7.88</v>
      </c>
      <c r="L208" s="601">
        <v>7.88</v>
      </c>
    </row>
    <row r="209" spans="1:12" s="488" customFormat="1" ht="12.75" x14ac:dyDescent="0.2">
      <c r="A209" s="611">
        <v>42522</v>
      </c>
      <c r="B209" s="572" t="s">
        <v>825</v>
      </c>
      <c r="C209" s="609">
        <v>478.36</v>
      </c>
      <c r="D209" s="609">
        <v>201.56</v>
      </c>
      <c r="E209" s="609">
        <v>10.5</v>
      </c>
      <c r="F209" s="609">
        <v>28</v>
      </c>
      <c r="G209" s="609">
        <v>75.8</v>
      </c>
      <c r="H209" s="609">
        <v>794.22</v>
      </c>
      <c r="I209" s="601">
        <v>10.48</v>
      </c>
      <c r="J209" s="601">
        <v>6.95</v>
      </c>
      <c r="K209" s="601">
        <v>8.14</v>
      </c>
      <c r="L209" s="601">
        <v>8.1300000000000008</v>
      </c>
    </row>
    <row r="210" spans="1:12" s="488" customFormat="1" ht="12.75" x14ac:dyDescent="0.2">
      <c r="A210" s="611">
        <v>42552</v>
      </c>
      <c r="B210" s="572" t="s">
        <v>825</v>
      </c>
      <c r="C210" s="609">
        <v>562.87</v>
      </c>
      <c r="D210" s="609">
        <v>80.52</v>
      </c>
      <c r="E210" s="609">
        <v>3</v>
      </c>
      <c r="F210" s="609">
        <v>38.5</v>
      </c>
      <c r="G210" s="609">
        <v>110</v>
      </c>
      <c r="H210" s="609">
        <v>794.89</v>
      </c>
      <c r="I210" s="601">
        <v>10.18</v>
      </c>
      <c r="J210" s="601">
        <v>7.54</v>
      </c>
      <c r="K210" s="601">
        <v>8.16</v>
      </c>
      <c r="L210" s="601">
        <v>8.15</v>
      </c>
    </row>
    <row r="211" spans="1:12" s="488" customFormat="1" ht="12.75" x14ac:dyDescent="0.2">
      <c r="A211" s="611">
        <v>42583</v>
      </c>
      <c r="B211" s="572" t="s">
        <v>825</v>
      </c>
      <c r="C211" s="609">
        <v>424.68</v>
      </c>
      <c r="D211" s="609">
        <v>87.5</v>
      </c>
      <c r="E211" s="609">
        <v>9</v>
      </c>
      <c r="F211" s="609">
        <v>37.75</v>
      </c>
      <c r="G211" s="609">
        <v>55.85</v>
      </c>
      <c r="H211" s="609">
        <v>614.78</v>
      </c>
      <c r="I211" s="601">
        <v>7.4</v>
      </c>
      <c r="J211" s="601">
        <v>6.94</v>
      </c>
      <c r="K211" s="601">
        <v>8.1199999999999992</v>
      </c>
      <c r="L211" s="601">
        <v>8.11</v>
      </c>
    </row>
    <row r="212" spans="1:12" s="488" customFormat="1" ht="12.75" x14ac:dyDescent="0.2">
      <c r="A212" s="611">
        <v>42614</v>
      </c>
      <c r="B212" s="572" t="s">
        <v>825</v>
      </c>
      <c r="C212" s="609">
        <v>383.66</v>
      </c>
      <c r="D212" s="609">
        <v>138.15</v>
      </c>
      <c r="E212" s="609">
        <v>33.35</v>
      </c>
      <c r="F212" s="609">
        <v>23.3</v>
      </c>
      <c r="G212" s="609">
        <v>83</v>
      </c>
      <c r="H212" s="609">
        <v>661.46</v>
      </c>
      <c r="I212" s="601">
        <v>7.43</v>
      </c>
      <c r="J212" s="601">
        <v>6.96</v>
      </c>
      <c r="K212" s="601">
        <v>7.99</v>
      </c>
      <c r="L212" s="601">
        <v>7.98</v>
      </c>
    </row>
    <row r="213" spans="1:12" s="488" customFormat="1" ht="12.75" x14ac:dyDescent="0.2">
      <c r="A213" s="611">
        <v>42644</v>
      </c>
      <c r="B213" s="572" t="s">
        <v>825</v>
      </c>
      <c r="C213" s="609">
        <v>341.42</v>
      </c>
      <c r="D213" s="609">
        <v>113.85</v>
      </c>
      <c r="E213" s="609">
        <v>55.61</v>
      </c>
      <c r="F213" s="609">
        <v>56</v>
      </c>
      <c r="G213" s="609">
        <v>142.15</v>
      </c>
      <c r="H213" s="609">
        <v>709.03</v>
      </c>
      <c r="I213" s="601">
        <v>8.91</v>
      </c>
      <c r="J213" s="601">
        <v>7.79</v>
      </c>
      <c r="K213" s="601">
        <v>7.69</v>
      </c>
      <c r="L213" s="601">
        <v>7.68</v>
      </c>
    </row>
    <row r="214" spans="1:12" s="488" customFormat="1" ht="12.75" x14ac:dyDescent="0.2">
      <c r="A214" s="611">
        <v>42675</v>
      </c>
      <c r="B214" s="572" t="s">
        <v>825</v>
      </c>
      <c r="C214" s="609">
        <v>493.97</v>
      </c>
      <c r="D214" s="609">
        <v>96.48</v>
      </c>
      <c r="E214" s="609">
        <v>20.29</v>
      </c>
      <c r="F214" s="609">
        <v>28</v>
      </c>
      <c r="G214" s="609">
        <v>77.5</v>
      </c>
      <c r="H214" s="609">
        <v>716.24</v>
      </c>
      <c r="I214" s="601">
        <v>11.3</v>
      </c>
      <c r="J214" s="601">
        <v>7.87</v>
      </c>
      <c r="K214" s="601">
        <v>7.69</v>
      </c>
      <c r="L214" s="601">
        <v>7.67</v>
      </c>
    </row>
    <row r="215" spans="1:12" s="488" customFormat="1" ht="12.75" x14ac:dyDescent="0.2">
      <c r="A215" s="611">
        <v>42705</v>
      </c>
      <c r="B215" s="572" t="s">
        <v>825</v>
      </c>
      <c r="C215" s="609">
        <v>468.75</v>
      </c>
      <c r="D215" s="609">
        <v>245.77</v>
      </c>
      <c r="E215" s="609">
        <v>8.5</v>
      </c>
      <c r="F215" s="609">
        <v>39.15</v>
      </c>
      <c r="G215" s="609">
        <v>59.5</v>
      </c>
      <c r="H215" s="609">
        <v>821.67</v>
      </c>
      <c r="I215" s="601">
        <v>8.32</v>
      </c>
      <c r="J215" s="601">
        <v>7.71</v>
      </c>
      <c r="K215" s="601">
        <v>7.62</v>
      </c>
      <c r="L215" s="601">
        <v>7.61</v>
      </c>
    </row>
    <row r="216" spans="1:12" s="488" customFormat="1" ht="12.75" x14ac:dyDescent="0.2">
      <c r="A216" s="612">
        <v>42736</v>
      </c>
      <c r="B216" s="578" t="s">
        <v>825</v>
      </c>
      <c r="C216" s="608">
        <v>341.3</v>
      </c>
      <c r="D216" s="608">
        <v>202.8</v>
      </c>
      <c r="E216" s="608">
        <v>80</v>
      </c>
      <c r="F216" s="608">
        <v>97.3</v>
      </c>
      <c r="G216" s="608">
        <v>124.4</v>
      </c>
      <c r="H216" s="608">
        <v>845.8</v>
      </c>
      <c r="I216" s="603">
        <v>7.6</v>
      </c>
      <c r="J216" s="603">
        <v>6.6</v>
      </c>
      <c r="K216" s="603">
        <v>7.8</v>
      </c>
      <c r="L216" s="603">
        <v>7.8</v>
      </c>
    </row>
    <row r="217" spans="1:12" s="488" customFormat="1" ht="12.75" x14ac:dyDescent="0.2">
      <c r="A217" s="612">
        <v>42767</v>
      </c>
      <c r="B217" s="578" t="s">
        <v>825</v>
      </c>
      <c r="C217" s="608">
        <v>402.8</v>
      </c>
      <c r="D217" s="608">
        <v>228.1</v>
      </c>
      <c r="E217" s="608">
        <v>54.4</v>
      </c>
      <c r="F217" s="608">
        <v>76.3</v>
      </c>
      <c r="G217" s="608">
        <v>133.1</v>
      </c>
      <c r="H217" s="608">
        <v>894.69999999999993</v>
      </c>
      <c r="I217" s="603">
        <v>10.199999999999999</v>
      </c>
      <c r="J217" s="603">
        <v>7.6</v>
      </c>
      <c r="K217" s="603">
        <v>8.1</v>
      </c>
      <c r="L217" s="603">
        <v>8.1</v>
      </c>
    </row>
    <row r="218" spans="1:12" s="488" customFormat="1" ht="12.75" x14ac:dyDescent="0.2">
      <c r="A218" s="612">
        <v>42795</v>
      </c>
      <c r="B218" s="578" t="s">
        <v>825</v>
      </c>
      <c r="C218" s="608">
        <v>596</v>
      </c>
      <c r="D218" s="608">
        <v>177.4</v>
      </c>
      <c r="E218" s="608">
        <v>40</v>
      </c>
      <c r="F218" s="608">
        <v>139</v>
      </c>
      <c r="G218" s="608">
        <v>100</v>
      </c>
      <c r="H218" s="608">
        <v>1052.4000000000001</v>
      </c>
      <c r="I218" s="603">
        <v>11.2</v>
      </c>
      <c r="J218" s="603">
        <v>8.9</v>
      </c>
      <c r="K218" s="603">
        <v>8.3000000000000007</v>
      </c>
      <c r="L218" s="603">
        <v>8.3000000000000007</v>
      </c>
    </row>
    <row r="219" spans="1:12" s="488" customFormat="1" ht="12.75" x14ac:dyDescent="0.2">
      <c r="A219" s="612">
        <v>42826</v>
      </c>
      <c r="B219" s="578" t="s">
        <v>825</v>
      </c>
      <c r="C219" s="608">
        <v>485.6</v>
      </c>
      <c r="D219" s="608">
        <v>121.4</v>
      </c>
      <c r="E219" s="608">
        <v>0</v>
      </c>
      <c r="F219" s="608">
        <v>55</v>
      </c>
      <c r="G219" s="608">
        <v>100</v>
      </c>
      <c r="H219" s="608">
        <v>762</v>
      </c>
      <c r="I219" s="603">
        <v>13.5</v>
      </c>
      <c r="J219" s="603">
        <v>8.5</v>
      </c>
      <c r="K219" s="603">
        <v>8.5</v>
      </c>
      <c r="L219" s="603">
        <v>8.5</v>
      </c>
    </row>
    <row r="220" spans="1:12" s="488" customFormat="1" ht="12.75" x14ac:dyDescent="0.2">
      <c r="A220" s="612">
        <v>42856</v>
      </c>
      <c r="B220" s="578" t="s">
        <v>825</v>
      </c>
      <c r="C220" s="608">
        <v>398.5</v>
      </c>
      <c r="D220" s="608">
        <v>100.5</v>
      </c>
      <c r="E220" s="608">
        <v>25.1</v>
      </c>
      <c r="F220" s="608">
        <v>35.799999999999997</v>
      </c>
      <c r="G220" s="608">
        <v>116.5</v>
      </c>
      <c r="H220" s="608">
        <v>676.4</v>
      </c>
      <c r="I220" s="603">
        <v>10.6</v>
      </c>
      <c r="J220" s="603">
        <v>8.4</v>
      </c>
      <c r="K220" s="603">
        <v>8.5</v>
      </c>
      <c r="L220" s="603">
        <v>8.5</v>
      </c>
    </row>
    <row r="221" spans="1:12" s="488" customFormat="1" ht="12.75" x14ac:dyDescent="0.2">
      <c r="A221" s="612">
        <v>42887</v>
      </c>
      <c r="B221" s="578" t="s">
        <v>825</v>
      </c>
      <c r="C221" s="608">
        <v>390.5</v>
      </c>
      <c r="D221" s="608">
        <v>145</v>
      </c>
      <c r="E221" s="608">
        <v>30.7</v>
      </c>
      <c r="F221" s="608">
        <v>32.5</v>
      </c>
      <c r="G221" s="608">
        <v>183.7</v>
      </c>
      <c r="H221" s="608">
        <v>782.40000000000009</v>
      </c>
      <c r="I221" s="603">
        <v>9.4</v>
      </c>
      <c r="J221" s="603">
        <v>8.1999999999999993</v>
      </c>
      <c r="K221" s="603">
        <v>8.3000000000000007</v>
      </c>
      <c r="L221" s="603">
        <v>8.3000000000000007</v>
      </c>
    </row>
    <row r="222" spans="1:12" s="488" customFormat="1" ht="12.75" x14ac:dyDescent="0.2">
      <c r="A222" s="612">
        <v>42917</v>
      </c>
      <c r="B222" s="578" t="s">
        <v>825</v>
      </c>
      <c r="C222" s="608">
        <v>211.8</v>
      </c>
      <c r="D222" s="608">
        <v>71.400000000000006</v>
      </c>
      <c r="E222" s="608">
        <v>2</v>
      </c>
      <c r="F222" s="608">
        <v>32.5</v>
      </c>
      <c r="G222" s="608">
        <v>224.6</v>
      </c>
      <c r="H222" s="608">
        <v>542.30000000000007</v>
      </c>
      <c r="I222" s="603">
        <v>8.3000000000000007</v>
      </c>
      <c r="J222" s="603">
        <v>7.9</v>
      </c>
      <c r="K222" s="603">
        <v>8.1999999999999993</v>
      </c>
      <c r="L222" s="603">
        <v>8.1999999999999993</v>
      </c>
    </row>
    <row r="223" spans="1:12" s="488" customFormat="1" ht="12.75" x14ac:dyDescent="0.2">
      <c r="A223" s="612">
        <v>42948</v>
      </c>
      <c r="B223" s="578" t="s">
        <v>825</v>
      </c>
      <c r="C223" s="608">
        <v>170.4</v>
      </c>
      <c r="D223" s="608">
        <v>80.400000000000006</v>
      </c>
      <c r="E223" s="608">
        <v>11</v>
      </c>
      <c r="F223" s="608">
        <v>105.5</v>
      </c>
      <c r="G223" s="608">
        <v>173.8</v>
      </c>
      <c r="H223" s="608">
        <v>541.1</v>
      </c>
      <c r="I223" s="603">
        <v>6.5</v>
      </c>
      <c r="J223" s="603">
        <v>6.9</v>
      </c>
      <c r="K223" s="603">
        <v>7.6</v>
      </c>
      <c r="L223" s="603">
        <v>7.6</v>
      </c>
    </row>
    <row r="224" spans="1:12" s="488" customFormat="1" ht="12.75" x14ac:dyDescent="0.2">
      <c r="A224" s="612">
        <v>42979</v>
      </c>
      <c r="B224" s="578" t="s">
        <v>825</v>
      </c>
      <c r="C224" s="608">
        <v>157.30000000000001</v>
      </c>
      <c r="D224" s="608">
        <v>153.19999999999999</v>
      </c>
      <c r="E224" s="608">
        <v>1.8</v>
      </c>
      <c r="F224" s="608">
        <v>35.799999999999997</v>
      </c>
      <c r="G224" s="608">
        <v>112.1</v>
      </c>
      <c r="H224" s="608">
        <v>460.20000000000005</v>
      </c>
      <c r="I224" s="603">
        <v>5.8</v>
      </c>
      <c r="J224" s="603">
        <v>5.9</v>
      </c>
      <c r="K224" s="603">
        <v>7.5</v>
      </c>
      <c r="L224" s="603">
        <v>7.5</v>
      </c>
    </row>
    <row r="225" spans="1:12" s="488" customFormat="1" ht="12.75" x14ac:dyDescent="0.2">
      <c r="A225" s="612">
        <v>43009</v>
      </c>
      <c r="B225" s="578" t="s">
        <v>825</v>
      </c>
      <c r="C225" s="608">
        <v>161.5</v>
      </c>
      <c r="D225" s="608">
        <v>93.9</v>
      </c>
      <c r="E225" s="608">
        <v>10.8</v>
      </c>
      <c r="F225" s="608">
        <v>60.5</v>
      </c>
      <c r="G225" s="608">
        <v>107.4</v>
      </c>
      <c r="H225" s="608">
        <v>434.1</v>
      </c>
      <c r="I225" s="603">
        <v>6.7</v>
      </c>
      <c r="J225" s="603">
        <v>6.6</v>
      </c>
      <c r="K225" s="603">
        <v>7.4</v>
      </c>
      <c r="L225" s="603">
        <v>7.4</v>
      </c>
    </row>
    <row r="226" spans="1:12" s="488" customFormat="1" ht="12.75" x14ac:dyDescent="0.2">
      <c r="A226" s="612">
        <v>43040</v>
      </c>
      <c r="B226" s="578" t="s">
        <v>825</v>
      </c>
      <c r="C226" s="608">
        <v>167.6</v>
      </c>
      <c r="D226" s="608">
        <v>162.19999999999999</v>
      </c>
      <c r="E226" s="608">
        <v>36.9</v>
      </c>
      <c r="F226" s="608">
        <v>43</v>
      </c>
      <c r="G226" s="608">
        <v>129.9</v>
      </c>
      <c r="H226" s="608">
        <v>539.59999999999991</v>
      </c>
      <c r="I226" s="603">
        <v>6.9</v>
      </c>
      <c r="J226" s="603">
        <v>6.9</v>
      </c>
      <c r="K226" s="603">
        <v>7.1</v>
      </c>
      <c r="L226" s="603">
        <v>7.1</v>
      </c>
    </row>
    <row r="227" spans="1:12" s="488" customFormat="1" ht="12.75" x14ac:dyDescent="0.2">
      <c r="A227" s="612">
        <v>43070</v>
      </c>
      <c r="B227" s="578" t="s">
        <v>825</v>
      </c>
      <c r="C227" s="608">
        <v>234.9</v>
      </c>
      <c r="D227" s="608">
        <v>77.5</v>
      </c>
      <c r="E227" s="608">
        <v>26.6</v>
      </c>
      <c r="F227" s="608">
        <v>23.1</v>
      </c>
      <c r="G227" s="608">
        <v>132.9</v>
      </c>
      <c r="H227" s="608">
        <v>495</v>
      </c>
      <c r="I227" s="603">
        <v>8.1999999999999993</v>
      </c>
      <c r="J227" s="603">
        <v>7.2</v>
      </c>
      <c r="K227" s="603">
        <v>6.3</v>
      </c>
      <c r="L227" s="603">
        <v>6.3</v>
      </c>
    </row>
    <row r="228" spans="1:12" s="488" customFormat="1" ht="12.75" x14ac:dyDescent="0.2">
      <c r="A228" s="611">
        <v>43101</v>
      </c>
      <c r="B228" s="572" t="s">
        <v>825</v>
      </c>
      <c r="C228" s="609">
        <v>97.6</v>
      </c>
      <c r="D228" s="609">
        <v>68.5</v>
      </c>
      <c r="E228" s="609">
        <v>86.5</v>
      </c>
      <c r="F228" s="609">
        <v>40.299999999999997</v>
      </c>
      <c r="G228" s="609">
        <v>151</v>
      </c>
      <c r="H228" s="609">
        <v>443.9</v>
      </c>
      <c r="I228" s="601">
        <v>5.8</v>
      </c>
      <c r="J228" s="601">
        <v>6.5</v>
      </c>
      <c r="K228" s="601">
        <v>5.9</v>
      </c>
      <c r="L228" s="601">
        <v>5.9</v>
      </c>
    </row>
    <row r="229" spans="1:12" s="488" customFormat="1" ht="12.75" x14ac:dyDescent="0.2">
      <c r="A229" s="611">
        <v>43132</v>
      </c>
      <c r="B229" s="572" t="s">
        <v>825</v>
      </c>
      <c r="C229" s="609">
        <v>142.30000000000001</v>
      </c>
      <c r="D229" s="609">
        <v>151.30000000000001</v>
      </c>
      <c r="E229" s="609">
        <v>45</v>
      </c>
      <c r="F229" s="609">
        <v>32.5</v>
      </c>
      <c r="G229" s="609">
        <v>130.4</v>
      </c>
      <c r="H229" s="609">
        <v>501.5</v>
      </c>
      <c r="I229" s="601">
        <v>6.3</v>
      </c>
      <c r="J229" s="601">
        <v>6.6</v>
      </c>
      <c r="K229" s="601">
        <v>6.1</v>
      </c>
      <c r="L229" s="601">
        <v>6.1</v>
      </c>
    </row>
    <row r="230" spans="1:12" s="488" customFormat="1" ht="12.75" x14ac:dyDescent="0.2">
      <c r="A230" s="611">
        <v>43160</v>
      </c>
      <c r="B230" s="572" t="s">
        <v>825</v>
      </c>
      <c r="C230" s="609">
        <v>195.1</v>
      </c>
      <c r="D230" s="609">
        <v>138.80000000000001</v>
      </c>
      <c r="E230" s="609">
        <v>47</v>
      </c>
      <c r="F230" s="609">
        <v>30.5</v>
      </c>
      <c r="G230" s="609">
        <v>152.5</v>
      </c>
      <c r="H230" s="609">
        <v>563.9</v>
      </c>
      <c r="I230" s="601">
        <v>6.4</v>
      </c>
      <c r="J230" s="601">
        <v>5.4</v>
      </c>
      <c r="K230" s="601">
        <v>6.1</v>
      </c>
      <c r="L230" s="601">
        <v>6.1</v>
      </c>
    </row>
    <row r="231" spans="1:12" s="488" customFormat="1" ht="12.75" x14ac:dyDescent="0.2">
      <c r="A231" s="611">
        <v>43191</v>
      </c>
      <c r="B231" s="572" t="s">
        <v>825</v>
      </c>
      <c r="C231" s="609">
        <v>243.1</v>
      </c>
      <c r="D231" s="609">
        <v>144.19999999999999</v>
      </c>
      <c r="E231" s="609">
        <v>17</v>
      </c>
      <c r="F231" s="609">
        <v>79</v>
      </c>
      <c r="G231" s="609">
        <v>179.5</v>
      </c>
      <c r="H231" s="609">
        <v>662.8</v>
      </c>
      <c r="I231" s="601">
        <v>5.8</v>
      </c>
      <c r="J231" s="601">
        <v>5.4</v>
      </c>
      <c r="K231" s="601">
        <v>5.8</v>
      </c>
      <c r="L231" s="601">
        <v>5.8</v>
      </c>
    </row>
    <row r="232" spans="1:12" s="488" customFormat="1" ht="12.75" x14ac:dyDescent="0.2">
      <c r="A232" s="611">
        <v>43221</v>
      </c>
      <c r="B232" s="572" t="s">
        <v>825</v>
      </c>
      <c r="C232" s="609">
        <v>121.2</v>
      </c>
      <c r="D232" s="609">
        <v>288.5</v>
      </c>
      <c r="E232" s="609">
        <v>30.5</v>
      </c>
      <c r="F232" s="609">
        <v>82.5</v>
      </c>
      <c r="G232" s="609">
        <v>174.3</v>
      </c>
      <c r="H232" s="609">
        <v>697</v>
      </c>
      <c r="I232" s="601">
        <v>6.2</v>
      </c>
      <c r="J232" s="601">
        <v>5.8</v>
      </c>
      <c r="K232" s="601">
        <v>5.9</v>
      </c>
      <c r="L232" s="601">
        <v>5.9</v>
      </c>
    </row>
    <row r="233" spans="1:12" s="488" customFormat="1" ht="12.75" x14ac:dyDescent="0.2">
      <c r="A233" s="611">
        <v>43252</v>
      </c>
      <c r="B233" s="572" t="s">
        <v>825</v>
      </c>
      <c r="C233" s="609">
        <v>114.9</v>
      </c>
      <c r="D233" s="609">
        <v>192.8</v>
      </c>
      <c r="E233" s="609">
        <v>48.1</v>
      </c>
      <c r="F233" s="609">
        <v>18.100000000000001</v>
      </c>
      <c r="G233" s="609">
        <v>104.2</v>
      </c>
      <c r="H233" s="609">
        <v>478.10000000000008</v>
      </c>
      <c r="I233" s="601">
        <v>6</v>
      </c>
      <c r="J233" s="601">
        <v>3.7</v>
      </c>
      <c r="K233" s="601">
        <v>6</v>
      </c>
      <c r="L233" s="601">
        <v>6</v>
      </c>
    </row>
    <row r="234" spans="1:12" s="488" customFormat="1" ht="12.75" x14ac:dyDescent="0.2">
      <c r="A234" s="611">
        <v>43282</v>
      </c>
      <c r="B234" s="572" t="s">
        <v>825</v>
      </c>
      <c r="C234" s="609">
        <v>118.1</v>
      </c>
      <c r="D234" s="609">
        <v>160.30000000000001</v>
      </c>
      <c r="E234" s="609">
        <v>45</v>
      </c>
      <c r="F234" s="609">
        <v>34</v>
      </c>
      <c r="G234" s="609">
        <v>125.8</v>
      </c>
      <c r="H234" s="609">
        <v>483.2</v>
      </c>
      <c r="I234" s="601">
        <v>6.6</v>
      </c>
      <c r="J234" s="601">
        <v>5.7</v>
      </c>
      <c r="K234" s="601">
        <v>6</v>
      </c>
      <c r="L234" s="601">
        <v>5.9</v>
      </c>
    </row>
    <row r="235" spans="1:12" s="488" customFormat="1" ht="12.75" x14ac:dyDescent="0.2">
      <c r="A235" s="611">
        <v>43313</v>
      </c>
      <c r="B235" s="572" t="s">
        <v>825</v>
      </c>
      <c r="C235" s="609">
        <v>196.8</v>
      </c>
      <c r="D235" s="609">
        <v>146</v>
      </c>
      <c r="E235" s="609">
        <v>96.3</v>
      </c>
      <c r="F235" s="609">
        <v>10</v>
      </c>
      <c r="G235" s="609">
        <v>211.8</v>
      </c>
      <c r="H235" s="609">
        <v>660.90000000000009</v>
      </c>
      <c r="I235" s="601">
        <v>5.9</v>
      </c>
      <c r="J235" s="601">
        <v>4.8</v>
      </c>
      <c r="K235" s="601">
        <v>5.8</v>
      </c>
      <c r="L235" s="601">
        <v>5.8</v>
      </c>
    </row>
    <row r="236" spans="1:12" s="488" customFormat="1" ht="12.75" x14ac:dyDescent="0.2">
      <c r="A236" s="611">
        <v>43344</v>
      </c>
      <c r="B236" s="572" t="s">
        <v>825</v>
      </c>
      <c r="C236" s="609">
        <v>142</v>
      </c>
      <c r="D236" s="609">
        <v>99.5</v>
      </c>
      <c r="E236" s="609">
        <v>25.6</v>
      </c>
      <c r="F236" s="609">
        <v>48.6</v>
      </c>
      <c r="G236" s="609">
        <v>171.9</v>
      </c>
      <c r="H236" s="609">
        <v>487.6</v>
      </c>
      <c r="I236" s="601">
        <v>5.5</v>
      </c>
      <c r="J236" s="601">
        <v>5.8</v>
      </c>
      <c r="K236" s="601">
        <v>5.8</v>
      </c>
      <c r="L236" s="601">
        <v>5.7</v>
      </c>
    </row>
    <row r="237" spans="1:12" s="488" customFormat="1" ht="12.75" x14ac:dyDescent="0.2">
      <c r="A237" s="611">
        <v>43374</v>
      </c>
      <c r="B237" s="572" t="s">
        <v>825</v>
      </c>
      <c r="C237" s="609">
        <v>159.9</v>
      </c>
      <c r="D237" s="609">
        <v>94.7</v>
      </c>
      <c r="E237" s="609">
        <v>27</v>
      </c>
      <c r="F237" s="609">
        <v>89.2</v>
      </c>
      <c r="G237" s="609">
        <v>180.1</v>
      </c>
      <c r="H237" s="609">
        <v>550.9</v>
      </c>
      <c r="I237" s="601">
        <v>5.9</v>
      </c>
      <c r="J237" s="601">
        <v>7</v>
      </c>
      <c r="K237" s="601">
        <v>6.7</v>
      </c>
      <c r="L237" s="601">
        <v>6.6</v>
      </c>
    </row>
    <row r="238" spans="1:12" s="488" customFormat="1" ht="12.75" x14ac:dyDescent="0.2">
      <c r="A238" s="611">
        <v>43405</v>
      </c>
      <c r="B238" s="572" t="s">
        <v>825</v>
      </c>
      <c r="C238" s="609">
        <v>70.400000000000006</v>
      </c>
      <c r="D238" s="609">
        <v>168</v>
      </c>
      <c r="E238" s="609">
        <v>89</v>
      </c>
      <c r="F238" s="609">
        <v>85.8</v>
      </c>
      <c r="G238" s="609">
        <v>68.400000000000006</v>
      </c>
      <c r="H238" s="609">
        <v>481.6</v>
      </c>
      <c r="I238" s="601">
        <v>6</v>
      </c>
      <c r="J238" s="601">
        <v>6.4</v>
      </c>
      <c r="K238" s="601">
        <v>7.2</v>
      </c>
      <c r="L238" s="601">
        <v>7.1</v>
      </c>
    </row>
    <row r="239" spans="1:12" s="488" customFormat="1" ht="12.75" x14ac:dyDescent="0.2">
      <c r="A239" s="611">
        <v>43435</v>
      </c>
      <c r="B239" s="572" t="s">
        <v>825</v>
      </c>
      <c r="C239" s="609">
        <v>205.3</v>
      </c>
      <c r="D239" s="609">
        <v>265.5</v>
      </c>
      <c r="E239" s="609">
        <v>57.6</v>
      </c>
      <c r="F239" s="609">
        <v>22.4</v>
      </c>
      <c r="G239" s="609">
        <v>70.5</v>
      </c>
      <c r="H239" s="609">
        <v>621.29999999999995</v>
      </c>
      <c r="I239" s="601">
        <v>6.7</v>
      </c>
      <c r="J239" s="601">
        <v>6.4</v>
      </c>
      <c r="K239" s="601">
        <v>7.2</v>
      </c>
      <c r="L239" s="601">
        <v>7.2</v>
      </c>
    </row>
    <row r="240" spans="1:12" s="488" customFormat="1" ht="12.75" x14ac:dyDescent="0.2">
      <c r="A240" s="612">
        <v>43466</v>
      </c>
      <c r="B240" s="578" t="s">
        <v>825</v>
      </c>
      <c r="C240" s="608">
        <v>234.1</v>
      </c>
      <c r="D240" s="608">
        <v>270.2</v>
      </c>
      <c r="E240" s="608">
        <v>13.8</v>
      </c>
      <c r="F240" s="608">
        <v>78.900000000000006</v>
      </c>
      <c r="G240" s="608">
        <v>201.8</v>
      </c>
      <c r="H240" s="608">
        <v>798.8</v>
      </c>
      <c r="I240" s="603">
        <v>6</v>
      </c>
      <c r="J240" s="603">
        <v>6.4</v>
      </c>
      <c r="K240" s="603">
        <v>5.6</v>
      </c>
      <c r="L240" s="603">
        <v>7.2</v>
      </c>
    </row>
    <row r="241" spans="1:12" s="488" customFormat="1" ht="12.75" x14ac:dyDescent="0.2">
      <c r="A241" s="612">
        <v>43497</v>
      </c>
      <c r="B241" s="578" t="s">
        <v>825</v>
      </c>
      <c r="C241" s="608">
        <v>118.8</v>
      </c>
      <c r="D241" s="608">
        <v>251.2</v>
      </c>
      <c r="E241" s="608">
        <v>22.1</v>
      </c>
      <c r="F241" s="608">
        <v>31</v>
      </c>
      <c r="G241" s="608">
        <v>162.1</v>
      </c>
      <c r="H241" s="608">
        <v>585.20000000000005</v>
      </c>
      <c r="I241" s="603">
        <v>5.7</v>
      </c>
      <c r="J241" s="603">
        <v>6.1</v>
      </c>
      <c r="K241" s="603">
        <v>5.6</v>
      </c>
      <c r="L241" s="603">
        <v>6.9</v>
      </c>
    </row>
    <row r="242" spans="1:12" s="488" customFormat="1" ht="12.75" x14ac:dyDescent="0.2">
      <c r="A242" s="612">
        <v>43525</v>
      </c>
      <c r="B242" s="578" t="s">
        <v>825</v>
      </c>
      <c r="C242" s="608">
        <v>177.6</v>
      </c>
      <c r="D242" s="608">
        <v>197.5</v>
      </c>
      <c r="E242" s="608">
        <v>11</v>
      </c>
      <c r="F242" s="608">
        <v>47.4</v>
      </c>
      <c r="G242" s="608">
        <v>163.5</v>
      </c>
      <c r="H242" s="608">
        <v>597</v>
      </c>
      <c r="I242" s="603">
        <v>6.8</v>
      </c>
      <c r="J242" s="603">
        <v>6.6</v>
      </c>
      <c r="K242" s="603">
        <v>5.4</v>
      </c>
      <c r="L242" s="603">
        <v>6.9</v>
      </c>
    </row>
    <row r="243" spans="1:12" s="488" customFormat="1" ht="12.75" x14ac:dyDescent="0.2">
      <c r="A243" s="612">
        <v>43556</v>
      </c>
      <c r="B243" s="578" t="s">
        <v>825</v>
      </c>
      <c r="C243" s="608">
        <v>130.69999999999999</v>
      </c>
      <c r="D243" s="608">
        <v>130.30000000000001</v>
      </c>
      <c r="E243" s="608">
        <v>3.6</v>
      </c>
      <c r="F243" s="608">
        <v>103.9</v>
      </c>
      <c r="G243" s="608">
        <v>134.5</v>
      </c>
      <c r="H243" s="608">
        <v>503</v>
      </c>
      <c r="I243" s="603">
        <v>6.6</v>
      </c>
      <c r="J243" s="603">
        <v>6.7</v>
      </c>
      <c r="K243" s="603">
        <v>5.2</v>
      </c>
      <c r="L243" s="603">
        <v>6.4</v>
      </c>
    </row>
    <row r="244" spans="1:12" s="488" customFormat="1" ht="12.75" x14ac:dyDescent="0.2">
      <c r="A244" s="612">
        <v>43586</v>
      </c>
      <c r="B244" s="578" t="s">
        <v>825</v>
      </c>
      <c r="C244" s="608">
        <v>127.3</v>
      </c>
      <c r="D244" s="608">
        <v>333.8</v>
      </c>
      <c r="E244" s="608">
        <v>68.2</v>
      </c>
      <c r="F244" s="608">
        <v>56.8</v>
      </c>
      <c r="G244" s="608">
        <v>176.1</v>
      </c>
      <c r="H244" s="608">
        <v>762.2</v>
      </c>
      <c r="I244" s="603">
        <v>5.9</v>
      </c>
      <c r="J244" s="603">
        <v>5.9</v>
      </c>
      <c r="K244" s="603">
        <v>5.0999999999999996</v>
      </c>
      <c r="L244" s="603">
        <v>6</v>
      </c>
    </row>
    <row r="245" spans="1:12" s="488" customFormat="1" ht="12.75" x14ac:dyDescent="0.2">
      <c r="A245" s="612">
        <v>43617</v>
      </c>
      <c r="B245" s="578" t="s">
        <v>825</v>
      </c>
      <c r="C245" s="608">
        <v>161.69999999999999</v>
      </c>
      <c r="D245" s="608">
        <v>249.8</v>
      </c>
      <c r="E245" s="608">
        <v>25</v>
      </c>
      <c r="F245" s="608">
        <v>29</v>
      </c>
      <c r="G245" s="608">
        <v>219.3</v>
      </c>
      <c r="H245" s="608">
        <v>684.8</v>
      </c>
      <c r="I245" s="603">
        <v>4.9000000000000004</v>
      </c>
      <c r="J245" s="603">
        <v>5</v>
      </c>
      <c r="K245" s="603">
        <v>4.7</v>
      </c>
      <c r="L245" s="603">
        <v>5.9</v>
      </c>
    </row>
    <row r="246" spans="1:12" s="488" customFormat="1" ht="12.75" x14ac:dyDescent="0.2">
      <c r="A246" s="612">
        <v>43647</v>
      </c>
      <c r="B246" s="578" t="s">
        <v>825</v>
      </c>
      <c r="C246" s="608">
        <v>192.5</v>
      </c>
      <c r="D246" s="608">
        <v>246</v>
      </c>
      <c r="E246" s="608">
        <v>41</v>
      </c>
      <c r="F246" s="608">
        <v>50</v>
      </c>
      <c r="G246" s="608">
        <v>206</v>
      </c>
      <c r="H246" s="608">
        <v>735.5</v>
      </c>
      <c r="I246" s="603">
        <v>4.3</v>
      </c>
      <c r="J246" s="603">
        <v>4.4000000000000004</v>
      </c>
      <c r="K246" s="603">
        <v>4.7</v>
      </c>
      <c r="L246" s="603">
        <v>5.7</v>
      </c>
    </row>
    <row r="247" spans="1:12" s="488" customFormat="1" ht="12.75" x14ac:dyDescent="0.2">
      <c r="A247" s="612">
        <v>43678</v>
      </c>
      <c r="B247" s="578" t="s">
        <v>825</v>
      </c>
      <c r="C247" s="608">
        <v>164.2</v>
      </c>
      <c r="D247" s="608">
        <v>309.60000000000002</v>
      </c>
      <c r="E247" s="608">
        <v>36.5</v>
      </c>
      <c r="F247" s="608">
        <v>29</v>
      </c>
      <c r="G247" s="608">
        <v>207.3</v>
      </c>
      <c r="H247" s="608">
        <v>746.59999999999991</v>
      </c>
      <c r="I247" s="603">
        <v>3.2</v>
      </c>
      <c r="J247" s="603">
        <v>3.1</v>
      </c>
      <c r="K247" s="603">
        <v>4.7</v>
      </c>
      <c r="L247" s="603">
        <v>5.6</v>
      </c>
    </row>
    <row r="248" spans="1:12" s="488" customFormat="1" ht="12.75" x14ac:dyDescent="0.2">
      <c r="A248" s="612">
        <v>43709</v>
      </c>
      <c r="B248" s="578" t="s">
        <v>825</v>
      </c>
      <c r="C248" s="608">
        <v>261.89999999999998</v>
      </c>
      <c r="D248" s="608">
        <v>218</v>
      </c>
      <c r="E248" s="608">
        <v>40</v>
      </c>
      <c r="F248" s="608">
        <v>52.5</v>
      </c>
      <c r="G248" s="608">
        <v>72</v>
      </c>
      <c r="H248" s="608">
        <v>644.4</v>
      </c>
      <c r="I248" s="603">
        <v>3.5</v>
      </c>
      <c r="J248" s="603">
        <v>3.3</v>
      </c>
      <c r="K248" s="603">
        <v>4.7</v>
      </c>
      <c r="L248" s="603">
        <v>5.5</v>
      </c>
    </row>
    <row r="249" spans="1:12" s="488" customFormat="1" ht="12.75" x14ac:dyDescent="0.2">
      <c r="A249" s="612">
        <v>43739</v>
      </c>
      <c r="B249" s="578" t="s">
        <v>825</v>
      </c>
      <c r="C249" s="608">
        <v>197.5</v>
      </c>
      <c r="D249" s="608">
        <v>185.5</v>
      </c>
      <c r="E249" s="608">
        <v>42.5</v>
      </c>
      <c r="F249" s="608">
        <v>71</v>
      </c>
      <c r="G249" s="608">
        <v>136.1</v>
      </c>
      <c r="H249" s="608">
        <v>632.6</v>
      </c>
      <c r="I249" s="603">
        <v>4.4000000000000004</v>
      </c>
      <c r="J249" s="603">
        <v>4.0999999999999996</v>
      </c>
      <c r="K249" s="603">
        <v>4.8</v>
      </c>
      <c r="L249" s="603">
        <v>5.6</v>
      </c>
    </row>
    <row r="250" spans="1:12" s="488" customFormat="1" ht="12.75" x14ac:dyDescent="0.2">
      <c r="A250" s="612">
        <v>43770</v>
      </c>
      <c r="B250" s="578" t="s">
        <v>825</v>
      </c>
      <c r="C250" s="608">
        <v>134.19999999999999</v>
      </c>
      <c r="D250" s="608">
        <v>180.3</v>
      </c>
      <c r="E250" s="608">
        <v>75.099999999999994</v>
      </c>
      <c r="F250" s="608">
        <v>31.8</v>
      </c>
      <c r="G250" s="608">
        <v>144.69999999999999</v>
      </c>
      <c r="H250" s="608">
        <v>566.1</v>
      </c>
      <c r="I250" s="603">
        <v>3.1</v>
      </c>
      <c r="J250" s="603">
        <v>3.6</v>
      </c>
      <c r="K250" s="603">
        <v>5</v>
      </c>
      <c r="L250" s="603">
        <v>5.6</v>
      </c>
    </row>
    <row r="251" spans="1:12" s="488" customFormat="1" ht="12.75" x14ac:dyDescent="0.2">
      <c r="A251" s="612">
        <v>43800</v>
      </c>
      <c r="B251" s="578" t="s">
        <v>825</v>
      </c>
      <c r="C251" s="608">
        <v>165.8</v>
      </c>
      <c r="D251" s="608">
        <v>179.8</v>
      </c>
      <c r="E251" s="608">
        <v>25.5</v>
      </c>
      <c r="F251" s="608">
        <v>22.5</v>
      </c>
      <c r="G251" s="608">
        <v>84.8</v>
      </c>
      <c r="H251" s="608">
        <v>478.40000000000003</v>
      </c>
      <c r="I251" s="603">
        <v>2.9</v>
      </c>
      <c r="J251" s="603">
        <v>3.1</v>
      </c>
      <c r="K251" s="603">
        <v>5</v>
      </c>
      <c r="L251" s="603">
        <v>5.5</v>
      </c>
    </row>
    <row r="252" spans="1:12" s="488" customFormat="1" ht="12.75" x14ac:dyDescent="0.2">
      <c r="A252" s="611">
        <v>43831</v>
      </c>
      <c r="B252" s="572" t="s">
        <v>825</v>
      </c>
      <c r="C252" s="609">
        <v>231.5</v>
      </c>
      <c r="D252" s="609">
        <v>172.5</v>
      </c>
      <c r="E252" s="609">
        <v>78</v>
      </c>
      <c r="F252" s="609">
        <v>84</v>
      </c>
      <c r="G252" s="609">
        <v>100.5</v>
      </c>
      <c r="H252" s="609">
        <v>666.5</v>
      </c>
      <c r="I252" s="601">
        <v>3.5</v>
      </c>
      <c r="J252" s="601">
        <v>3.4</v>
      </c>
      <c r="K252" s="601">
        <v>5</v>
      </c>
      <c r="L252" s="601">
        <v>5.7</v>
      </c>
    </row>
    <row r="253" spans="1:12" s="488" customFormat="1" ht="12.75" x14ac:dyDescent="0.2">
      <c r="A253" s="611">
        <v>43862</v>
      </c>
      <c r="B253" s="572" t="s">
        <v>825</v>
      </c>
      <c r="C253" s="609">
        <v>127.1</v>
      </c>
      <c r="D253" s="609">
        <v>146.69999999999999</v>
      </c>
      <c r="E253" s="609">
        <v>11</v>
      </c>
      <c r="F253" s="609">
        <v>95.3</v>
      </c>
      <c r="G253" s="609">
        <v>83</v>
      </c>
      <c r="H253" s="609">
        <v>463.09999999999997</v>
      </c>
      <c r="I253" s="601">
        <v>3.4</v>
      </c>
      <c r="J253" s="601">
        <v>3.5</v>
      </c>
      <c r="K253" s="601">
        <v>4.5999999999999996</v>
      </c>
      <c r="L253" s="601">
        <v>5.7</v>
      </c>
    </row>
    <row r="254" spans="1:12" s="488" customFormat="1" ht="12.75" x14ac:dyDescent="0.2">
      <c r="A254" s="611">
        <v>43891</v>
      </c>
      <c r="B254" s="572" t="s">
        <v>825</v>
      </c>
      <c r="C254" s="609">
        <v>324.60000000000002</v>
      </c>
      <c r="D254" s="609">
        <v>211.8</v>
      </c>
      <c r="E254" s="609">
        <v>81</v>
      </c>
      <c r="F254" s="609">
        <v>119.5</v>
      </c>
      <c r="G254" s="609">
        <v>94</v>
      </c>
      <c r="H254" s="609">
        <v>830.90000000000009</v>
      </c>
      <c r="I254" s="601">
        <v>1.9</v>
      </c>
      <c r="J254" s="601">
        <v>2.2000000000000002</v>
      </c>
      <c r="K254" s="601">
        <v>5.2</v>
      </c>
      <c r="L254" s="601">
        <v>6.1</v>
      </c>
    </row>
    <row r="255" spans="1:12" s="488" customFormat="1" ht="12.75" x14ac:dyDescent="0.2">
      <c r="A255" s="611">
        <v>43922</v>
      </c>
      <c r="B255" s="572" t="s">
        <v>825</v>
      </c>
      <c r="C255" s="609">
        <v>259.8</v>
      </c>
      <c r="D255" s="609">
        <v>290.2</v>
      </c>
      <c r="E255" s="609">
        <v>35</v>
      </c>
      <c r="F255" s="609">
        <v>19</v>
      </c>
      <c r="G255" s="609">
        <v>119.8</v>
      </c>
      <c r="H255" s="609">
        <v>723.8</v>
      </c>
      <c r="I255" s="601">
        <v>4.7</v>
      </c>
      <c r="J255" s="601">
        <v>-0.8</v>
      </c>
      <c r="K255" s="601">
        <v>5.2</v>
      </c>
      <c r="L255" s="601">
        <v>5.7</v>
      </c>
    </row>
    <row r="256" spans="1:12" s="488" customFormat="1" ht="12.75" x14ac:dyDescent="0.2">
      <c r="A256" s="611">
        <v>43952</v>
      </c>
      <c r="B256" s="572" t="s">
        <v>825</v>
      </c>
      <c r="C256" s="609">
        <v>123.4</v>
      </c>
      <c r="D256" s="609">
        <v>161.6</v>
      </c>
      <c r="E256" s="609">
        <v>58</v>
      </c>
      <c r="F256" s="609">
        <v>20</v>
      </c>
      <c r="G256" s="609">
        <v>105.3</v>
      </c>
      <c r="H256" s="609">
        <v>468.3</v>
      </c>
      <c r="I256" s="601">
        <v>1.6</v>
      </c>
      <c r="J256" s="601">
        <v>6.9</v>
      </c>
      <c r="K256" s="601">
        <v>5.2</v>
      </c>
      <c r="L256" s="601">
        <v>6.4</v>
      </c>
    </row>
    <row r="257" spans="1:12" s="488" customFormat="1" ht="12.75" x14ac:dyDescent="0.2">
      <c r="A257" s="611">
        <v>43983</v>
      </c>
      <c r="B257" s="572" t="s">
        <v>825</v>
      </c>
      <c r="C257" s="609">
        <v>229.4</v>
      </c>
      <c r="D257" s="609">
        <v>205.3</v>
      </c>
      <c r="E257" s="609">
        <v>86.1</v>
      </c>
      <c r="F257" s="609">
        <v>73.3</v>
      </c>
      <c r="G257" s="609">
        <v>162.30000000000001</v>
      </c>
      <c r="H257" s="609">
        <v>756.40000000000009</v>
      </c>
      <c r="I257" s="601">
        <v>0.8</v>
      </c>
      <c r="J257" s="601">
        <v>0.9</v>
      </c>
      <c r="K257" s="601">
        <v>5</v>
      </c>
      <c r="L257" s="601">
        <v>6</v>
      </c>
    </row>
    <row r="258" spans="1:12" s="488" customFormat="1" ht="12.75" x14ac:dyDescent="0.2">
      <c r="A258" s="611">
        <v>44013</v>
      </c>
      <c r="B258" s="572" t="s">
        <v>825</v>
      </c>
      <c r="C258" s="609">
        <v>228.2</v>
      </c>
      <c r="D258" s="609">
        <v>215.8</v>
      </c>
      <c r="E258" s="609">
        <v>147.80000000000001</v>
      </c>
      <c r="F258" s="609">
        <v>45</v>
      </c>
      <c r="G258" s="609">
        <v>90.7</v>
      </c>
      <c r="H258" s="609">
        <v>727.5</v>
      </c>
      <c r="I258" s="601">
        <v>0.2</v>
      </c>
      <c r="J258" s="601">
        <v>0.4</v>
      </c>
      <c r="K258" s="601">
        <v>4.0999999999999996</v>
      </c>
      <c r="L258" s="601">
        <v>4.5</v>
      </c>
    </row>
    <row r="259" spans="1:12" s="488" customFormat="1" ht="12.75" x14ac:dyDescent="0.2">
      <c r="A259" s="611">
        <v>44044</v>
      </c>
      <c r="B259" s="572" t="s">
        <v>825</v>
      </c>
      <c r="C259" s="609">
        <v>129.4</v>
      </c>
      <c r="D259" s="609">
        <v>199.1</v>
      </c>
      <c r="E259" s="609">
        <v>50.4</v>
      </c>
      <c r="F259" s="609">
        <v>73.8</v>
      </c>
      <c r="G259" s="609">
        <v>126</v>
      </c>
      <c r="H259" s="609">
        <v>578.70000000000005</v>
      </c>
      <c r="I259" s="601">
        <v>0.4</v>
      </c>
      <c r="J259" s="601">
        <v>0.9</v>
      </c>
      <c r="K259" s="601">
        <v>3.9</v>
      </c>
      <c r="L259" s="601">
        <v>4.4000000000000004</v>
      </c>
    </row>
    <row r="260" spans="1:12" s="488" customFormat="1" ht="12.75" x14ac:dyDescent="0.2">
      <c r="A260" s="611">
        <v>44075</v>
      </c>
      <c r="B260" s="572" t="s">
        <v>825</v>
      </c>
      <c r="C260" s="609">
        <v>107.1</v>
      </c>
      <c r="D260" s="609">
        <v>190</v>
      </c>
      <c r="E260" s="609">
        <v>71.2</v>
      </c>
      <c r="F260" s="609">
        <v>56.7</v>
      </c>
      <c r="G260" s="609">
        <v>84.2</v>
      </c>
      <c r="H260" s="609">
        <v>509.2</v>
      </c>
      <c r="I260" s="601">
        <v>0.4</v>
      </c>
      <c r="J260" s="601">
        <v>0.7</v>
      </c>
      <c r="K260" s="601">
        <v>3.9</v>
      </c>
      <c r="L260" s="601">
        <v>4.3</v>
      </c>
    </row>
    <row r="261" spans="1:12" s="488" customFormat="1" ht="12.75" x14ac:dyDescent="0.2">
      <c r="A261" s="611">
        <v>44105</v>
      </c>
      <c r="B261" s="572" t="s">
        <v>825</v>
      </c>
      <c r="C261" s="609">
        <v>162.19999999999999</v>
      </c>
      <c r="D261" s="609">
        <v>245</v>
      </c>
      <c r="E261" s="609">
        <v>104.1</v>
      </c>
      <c r="F261" s="609">
        <v>104.9</v>
      </c>
      <c r="G261" s="609">
        <v>180</v>
      </c>
      <c r="H261" s="609">
        <v>796.19999999999993</v>
      </c>
      <c r="I261" s="601">
        <v>0.8</v>
      </c>
      <c r="J261" s="601">
        <v>0.5</v>
      </c>
      <c r="K261" s="601">
        <v>3.9</v>
      </c>
      <c r="L261" s="601">
        <v>4.3</v>
      </c>
    </row>
    <row r="262" spans="1:12" s="488" customFormat="1" ht="12.75" x14ac:dyDescent="0.2">
      <c r="A262" s="611">
        <v>44136</v>
      </c>
      <c r="B262" s="572" t="s">
        <v>825</v>
      </c>
      <c r="C262" s="609">
        <v>291.60000000000002</v>
      </c>
      <c r="D262" s="609">
        <v>150.9</v>
      </c>
      <c r="E262" s="609">
        <v>103.7</v>
      </c>
      <c r="F262" s="609">
        <v>70.400000000000006</v>
      </c>
      <c r="G262" s="609">
        <v>117.2</v>
      </c>
      <c r="H262" s="609">
        <v>733.80000000000007</v>
      </c>
      <c r="I262" s="601">
        <v>0.8</v>
      </c>
      <c r="J262" s="601">
        <v>0.5</v>
      </c>
      <c r="K262" s="601">
        <v>3.9</v>
      </c>
      <c r="L262" s="601">
        <v>4.4000000000000004</v>
      </c>
    </row>
    <row r="263" spans="1:12" s="488" customFormat="1" ht="12.75" x14ac:dyDescent="0.2">
      <c r="A263" s="611">
        <v>44166</v>
      </c>
      <c r="B263" s="572" t="s">
        <v>825</v>
      </c>
      <c r="C263" s="609">
        <v>339.2</v>
      </c>
      <c r="D263" s="609">
        <v>200.6</v>
      </c>
      <c r="E263" s="609">
        <v>79.2</v>
      </c>
      <c r="F263" s="609">
        <v>61.9</v>
      </c>
      <c r="G263" s="609">
        <v>29</v>
      </c>
      <c r="H263" s="609">
        <v>709.9</v>
      </c>
      <c r="I263" s="601">
        <v>-2.1</v>
      </c>
      <c r="J263" s="601">
        <v>-1.1000000000000001</v>
      </c>
      <c r="K263" s="601">
        <v>3.9</v>
      </c>
      <c r="L263" s="601">
        <v>4.4000000000000004</v>
      </c>
    </row>
    <row r="264" spans="1:12" s="488" customFormat="1" ht="12.75" x14ac:dyDescent="0.2">
      <c r="A264" s="612">
        <v>44197</v>
      </c>
      <c r="B264" s="578" t="s">
        <v>825</v>
      </c>
      <c r="C264" s="608">
        <v>349.9</v>
      </c>
      <c r="D264" s="608">
        <v>215</v>
      </c>
      <c r="E264" s="608">
        <v>102.6</v>
      </c>
      <c r="F264" s="608">
        <v>25.7</v>
      </c>
      <c r="G264" s="608">
        <v>38.9</v>
      </c>
      <c r="H264" s="608">
        <v>732.1</v>
      </c>
      <c r="I264" s="603">
        <v>13</v>
      </c>
      <c r="J264" s="603">
        <v>2.4</v>
      </c>
      <c r="K264" s="603">
        <v>4</v>
      </c>
      <c r="L264" s="603">
        <v>4.5</v>
      </c>
    </row>
    <row r="265" spans="1:12" s="488" customFormat="1" ht="12.75" x14ac:dyDescent="0.2">
      <c r="A265" s="612">
        <v>44228</v>
      </c>
      <c r="B265" s="578" t="s">
        <v>825</v>
      </c>
      <c r="C265" s="608">
        <v>208.1</v>
      </c>
      <c r="D265" s="608">
        <v>267.3</v>
      </c>
      <c r="E265" s="608">
        <v>35.5</v>
      </c>
      <c r="F265" s="608">
        <v>5</v>
      </c>
      <c r="G265" s="608">
        <v>15.5</v>
      </c>
      <c r="H265" s="608">
        <v>531.4</v>
      </c>
      <c r="I265" s="603">
        <v>-0.2</v>
      </c>
      <c r="J265" s="603">
        <v>-4.2</v>
      </c>
      <c r="K265" s="603">
        <v>4</v>
      </c>
      <c r="L265" s="603">
        <v>4.5999999999999996</v>
      </c>
    </row>
    <row r="266" spans="1:12" s="488" customFormat="1" ht="12.75" x14ac:dyDescent="0.2">
      <c r="A266" s="612">
        <v>44256</v>
      </c>
      <c r="B266" s="578" t="s">
        <v>825</v>
      </c>
      <c r="C266" s="608">
        <v>404.3</v>
      </c>
      <c r="D266" s="608">
        <v>325.7</v>
      </c>
      <c r="E266" s="608">
        <v>60.3</v>
      </c>
      <c r="F266" s="608">
        <v>23.5</v>
      </c>
      <c r="G266" s="608">
        <v>115</v>
      </c>
      <c r="H266" s="608">
        <v>928.8</v>
      </c>
      <c r="I266" s="603">
        <v>-2.9</v>
      </c>
      <c r="J266" s="603">
        <v>-6</v>
      </c>
      <c r="K266" s="603">
        <v>4</v>
      </c>
      <c r="L266" s="603">
        <v>4.8</v>
      </c>
    </row>
    <row r="267" spans="1:12" s="488" customFormat="1" ht="12.75" x14ac:dyDescent="0.2">
      <c r="A267" s="612">
        <v>44287</v>
      </c>
      <c r="B267" s="578" t="s">
        <v>825</v>
      </c>
      <c r="C267" s="608">
        <v>274.7</v>
      </c>
      <c r="D267" s="608">
        <v>292.5</v>
      </c>
      <c r="E267" s="608">
        <v>52</v>
      </c>
      <c r="F267" s="608">
        <v>3.8</v>
      </c>
      <c r="G267" s="608">
        <v>13</v>
      </c>
      <c r="H267" s="608">
        <v>636</v>
      </c>
      <c r="I267" s="603">
        <v>-0.5</v>
      </c>
      <c r="J267" s="603">
        <v>-4</v>
      </c>
      <c r="K267" s="603">
        <v>4.0999999999999996</v>
      </c>
      <c r="L267" s="603">
        <v>4.9000000000000004</v>
      </c>
    </row>
    <row r="268" spans="1:12" s="488" customFormat="1" ht="12.75" x14ac:dyDescent="0.2">
      <c r="A268" s="612">
        <v>44317</v>
      </c>
      <c r="B268" s="578" t="s">
        <v>825</v>
      </c>
      <c r="C268" s="608">
        <v>208.4</v>
      </c>
      <c r="D268" s="608">
        <v>184.3</v>
      </c>
      <c r="E268" s="608">
        <v>61.5</v>
      </c>
      <c r="F268" s="608">
        <v>20.2</v>
      </c>
      <c r="G268" s="608">
        <v>60</v>
      </c>
      <c r="H268" s="608">
        <v>534.40000000000009</v>
      </c>
      <c r="I268" s="603">
        <v>-10.9</v>
      </c>
      <c r="J268" s="603">
        <v>-7.1</v>
      </c>
      <c r="K268" s="603">
        <v>4.0999999999999996</v>
      </c>
      <c r="L268" s="603">
        <v>5</v>
      </c>
    </row>
    <row r="269" spans="1:12" s="488" customFormat="1" ht="12.75" x14ac:dyDescent="0.2">
      <c r="A269" s="612">
        <v>44348</v>
      </c>
      <c r="B269" s="578" t="s">
        <v>825</v>
      </c>
      <c r="C269" s="608">
        <v>231.3</v>
      </c>
      <c r="D269" s="608">
        <v>176</v>
      </c>
      <c r="E269" s="608">
        <v>45</v>
      </c>
      <c r="F269" s="608">
        <v>60.1</v>
      </c>
      <c r="G269" s="608">
        <v>63.4</v>
      </c>
      <c r="H269" s="608">
        <v>575.79999999999995</v>
      </c>
      <c r="I269" s="603">
        <v>-11.9</v>
      </c>
      <c r="J269" s="603">
        <v>-7.2</v>
      </c>
      <c r="K269" s="603">
        <v>4.2</v>
      </c>
      <c r="L269" s="603">
        <v>5</v>
      </c>
    </row>
    <row r="270" spans="1:12" s="488" customFormat="1" ht="12.75" x14ac:dyDescent="0.2">
      <c r="A270" s="612">
        <v>44378</v>
      </c>
      <c r="B270" s="578" t="s">
        <v>825</v>
      </c>
      <c r="C270" s="608">
        <v>230</v>
      </c>
      <c r="D270" s="608">
        <v>126.9</v>
      </c>
      <c r="E270" s="608">
        <v>93.5</v>
      </c>
      <c r="F270" s="608">
        <v>84.4</v>
      </c>
      <c r="G270" s="608">
        <v>42.8</v>
      </c>
      <c r="H270" s="608">
        <v>577.59999999999991</v>
      </c>
      <c r="I270" s="603">
        <v>-6.8</v>
      </c>
      <c r="J270" s="603">
        <v>-6.8</v>
      </c>
      <c r="K270" s="603">
        <v>4.4000000000000004</v>
      </c>
      <c r="L270" s="603">
        <v>5.0999999999999996</v>
      </c>
    </row>
    <row r="271" spans="1:12" s="488" customFormat="1" ht="12.75" x14ac:dyDescent="0.2">
      <c r="A271" s="612">
        <v>44409</v>
      </c>
      <c r="B271" s="578" t="s">
        <v>825</v>
      </c>
      <c r="C271" s="608">
        <v>93.4</v>
      </c>
      <c r="D271" s="608">
        <v>43</v>
      </c>
      <c r="E271" s="608">
        <v>16</v>
      </c>
      <c r="F271" s="608">
        <v>18.100000000000001</v>
      </c>
      <c r="G271" s="608">
        <v>23</v>
      </c>
      <c r="H271" s="608">
        <v>193.5</v>
      </c>
      <c r="I271" s="603">
        <v>14.2</v>
      </c>
      <c r="J271" s="603">
        <v>-2.1</v>
      </c>
      <c r="K271" s="603">
        <v>4.7</v>
      </c>
      <c r="L271" s="603">
        <v>5.3</v>
      </c>
    </row>
    <row r="272" spans="1:12" s="488" customFormat="1" ht="12.75" x14ac:dyDescent="0.2">
      <c r="A272" s="612">
        <v>44440</v>
      </c>
      <c r="B272" s="578" t="s">
        <v>825</v>
      </c>
      <c r="C272" s="608">
        <v>107.9</v>
      </c>
      <c r="D272" s="608">
        <v>51</v>
      </c>
      <c r="E272" s="608">
        <v>7</v>
      </c>
      <c r="F272" s="608">
        <v>13</v>
      </c>
      <c r="G272" s="608">
        <v>91.3</v>
      </c>
      <c r="H272" s="608">
        <v>270.2</v>
      </c>
      <c r="I272" s="603">
        <v>4.0999999999999996</v>
      </c>
      <c r="J272" s="603">
        <v>-1.9</v>
      </c>
      <c r="K272" s="603">
        <v>5.3</v>
      </c>
      <c r="L272" s="603">
        <v>6</v>
      </c>
    </row>
    <row r="273" spans="1:12" s="488" customFormat="1" ht="12.75" x14ac:dyDescent="0.2">
      <c r="A273" s="612">
        <v>44470</v>
      </c>
      <c r="B273" s="578" t="s">
        <v>825</v>
      </c>
      <c r="C273" s="608">
        <v>146.9</v>
      </c>
      <c r="D273" s="608">
        <v>73</v>
      </c>
      <c r="E273" s="608">
        <v>0</v>
      </c>
      <c r="F273" s="608">
        <v>90.5</v>
      </c>
      <c r="G273" s="608">
        <v>59</v>
      </c>
      <c r="H273" s="608">
        <v>369.4</v>
      </c>
      <c r="I273" s="603">
        <v>-2.6</v>
      </c>
      <c r="J273" s="603">
        <v>0.9</v>
      </c>
      <c r="K273" s="603">
        <v>5.2</v>
      </c>
      <c r="L273" s="603">
        <v>7.6</v>
      </c>
    </row>
    <row r="274" spans="1:12" s="488" customFormat="1" ht="12.75" x14ac:dyDescent="0.2">
      <c r="A274" s="612">
        <v>44501</v>
      </c>
      <c r="B274" s="578" t="s">
        <v>825</v>
      </c>
      <c r="C274" s="608">
        <v>331.4</v>
      </c>
      <c r="D274" s="608">
        <v>76.8</v>
      </c>
      <c r="E274" s="608">
        <v>32</v>
      </c>
      <c r="F274" s="608">
        <v>63</v>
      </c>
      <c r="G274" s="608">
        <v>22</v>
      </c>
      <c r="H274" s="608">
        <v>525.20000000000005</v>
      </c>
      <c r="I274" s="603">
        <v>-6</v>
      </c>
      <c r="J274" s="603">
        <v>-3.2</v>
      </c>
      <c r="K274" s="603">
        <v>5.2</v>
      </c>
      <c r="L274" s="603">
        <v>7.7</v>
      </c>
    </row>
    <row r="275" spans="1:12" s="488" customFormat="1" ht="12.75" x14ac:dyDescent="0.2">
      <c r="A275" s="612">
        <v>44531</v>
      </c>
      <c r="B275" s="578" t="s">
        <v>825</v>
      </c>
      <c r="C275" s="608">
        <v>263.10000000000002</v>
      </c>
      <c r="D275" s="608">
        <v>68</v>
      </c>
      <c r="E275" s="608">
        <v>13</v>
      </c>
      <c r="F275" s="608">
        <v>59.8</v>
      </c>
      <c r="G275" s="608">
        <v>30.5</v>
      </c>
      <c r="H275" s="608">
        <v>434.40000000000003</v>
      </c>
      <c r="I275" s="603">
        <v>26.2</v>
      </c>
      <c r="J275" s="603">
        <v>-21.1</v>
      </c>
      <c r="K275" s="603">
        <v>5.2</v>
      </c>
      <c r="L275" s="603">
        <v>7.2</v>
      </c>
    </row>
    <row r="276" spans="1:12" s="488" customFormat="1" ht="12.75" x14ac:dyDescent="0.2">
      <c r="A276" s="611">
        <v>44562</v>
      </c>
      <c r="B276" s="572" t="s">
        <v>825</v>
      </c>
      <c r="C276" s="609">
        <v>217.25</v>
      </c>
      <c r="D276" s="609">
        <v>88.25</v>
      </c>
      <c r="E276" s="609">
        <v>32.25</v>
      </c>
      <c r="F276" s="609">
        <v>26.25</v>
      </c>
      <c r="G276" s="609">
        <v>0</v>
      </c>
      <c r="H276" s="609">
        <v>364</v>
      </c>
      <c r="I276" s="601">
        <v>-5.1612382242280281</v>
      </c>
      <c r="J276" s="601">
        <v>-23.548486028362731</v>
      </c>
      <c r="K276" s="601">
        <v>5.4393987250530076</v>
      </c>
      <c r="L276" s="601">
        <v>8.1468635314213564</v>
      </c>
    </row>
    <row r="277" spans="1:12" s="488" customFormat="1" ht="12.75" x14ac:dyDescent="0.2">
      <c r="A277" s="611">
        <v>44593</v>
      </c>
      <c r="B277" s="572" t="s">
        <v>825</v>
      </c>
      <c r="C277" s="609">
        <v>114</v>
      </c>
      <c r="D277" s="609">
        <v>186.75</v>
      </c>
      <c r="E277" s="609">
        <v>148</v>
      </c>
      <c r="F277" s="609">
        <v>30.5</v>
      </c>
      <c r="G277" s="609">
        <v>17</v>
      </c>
      <c r="H277" s="609">
        <v>496.25</v>
      </c>
      <c r="I277" s="601">
        <v>-3.7187964109267528</v>
      </c>
      <c r="J277" s="601">
        <v>-3.8150719640145883</v>
      </c>
      <c r="K277" s="601">
        <v>5.6754464420963728</v>
      </c>
      <c r="L277" s="601">
        <v>8.1187398078143911</v>
      </c>
    </row>
    <row r="278" spans="1:12" s="488" customFormat="1" ht="12.75" x14ac:dyDescent="0.2">
      <c r="A278" s="611">
        <v>44621</v>
      </c>
      <c r="B278" s="572" t="s">
        <v>825</v>
      </c>
      <c r="C278" s="609">
        <v>230.25</v>
      </c>
      <c r="D278" s="609">
        <v>140.1</v>
      </c>
      <c r="E278" s="609">
        <v>50.75</v>
      </c>
      <c r="F278" s="609">
        <v>23.32</v>
      </c>
      <c r="G278" s="609">
        <v>11.75</v>
      </c>
      <c r="H278" s="609">
        <v>456.17</v>
      </c>
      <c r="I278" s="601">
        <v>-26.422712183115998</v>
      </c>
      <c r="J278" s="601">
        <v>-40.028476971217614</v>
      </c>
      <c r="K278" s="601">
        <v>6.2511224228592104</v>
      </c>
      <c r="L278" s="601">
        <v>10.122181085704742</v>
      </c>
    </row>
    <row r="279" spans="1:12" s="488" customFormat="1" ht="12.75" x14ac:dyDescent="0.2">
      <c r="A279" s="611">
        <v>44652</v>
      </c>
      <c r="B279" s="572" t="s">
        <v>825</v>
      </c>
      <c r="C279" s="609">
        <v>119.25</v>
      </c>
      <c r="D279" s="609">
        <v>34</v>
      </c>
      <c r="E279" s="609">
        <v>0</v>
      </c>
      <c r="F279" s="609">
        <v>0</v>
      </c>
      <c r="G279" s="609">
        <v>0</v>
      </c>
      <c r="H279" s="609">
        <v>153.25</v>
      </c>
      <c r="I279" s="601">
        <v>0.34756329360548688</v>
      </c>
      <c r="J279" s="601">
        <v>-28.844216473749473</v>
      </c>
      <c r="K279" s="601">
        <v>10.444625534679675</v>
      </c>
      <c r="L279" s="601">
        <v>18.118848602610289</v>
      </c>
    </row>
    <row r="280" spans="1:12" s="488" customFormat="1" ht="12.75" x14ac:dyDescent="0.2">
      <c r="A280" s="611">
        <v>44682</v>
      </c>
      <c r="B280" s="572" t="s">
        <v>825</v>
      </c>
      <c r="C280" s="609">
        <v>90.5</v>
      </c>
      <c r="D280" s="609">
        <v>6</v>
      </c>
      <c r="E280" s="609">
        <v>13</v>
      </c>
      <c r="F280" s="609">
        <v>5</v>
      </c>
      <c r="G280" s="609">
        <v>2</v>
      </c>
      <c r="H280" s="609">
        <v>116.5</v>
      </c>
      <c r="I280" s="601">
        <v>-3.6539831846112207</v>
      </c>
      <c r="J280" s="601">
        <v>12.354052756180669</v>
      </c>
      <c r="K280" s="601">
        <v>12.091916097111003</v>
      </c>
      <c r="L280" s="601">
        <v>22.238950021036093</v>
      </c>
    </row>
    <row r="281" spans="1:12" s="488" customFormat="1" ht="12.75" x14ac:dyDescent="0.2">
      <c r="A281" s="611">
        <v>44713</v>
      </c>
      <c r="B281" s="572" t="s">
        <v>825</v>
      </c>
      <c r="C281" s="609">
        <v>112.90000000000002</v>
      </c>
      <c r="D281" s="609">
        <v>18.649999999999999</v>
      </c>
      <c r="E281" s="609">
        <v>8.5</v>
      </c>
      <c r="F281" s="609">
        <v>1.17</v>
      </c>
      <c r="G281" s="609">
        <v>0</v>
      </c>
      <c r="H281" s="609">
        <v>141.22</v>
      </c>
      <c r="I281" s="601">
        <v>4.9521225390247565</v>
      </c>
      <c r="J281" s="601">
        <v>0.97123401686531929</v>
      </c>
      <c r="K281" s="601">
        <v>11.57591324041131</v>
      </c>
      <c r="L281" s="601">
        <v>19.659094889572447</v>
      </c>
    </row>
    <row r="282" spans="1:12" s="488" customFormat="1" ht="12.75" x14ac:dyDescent="0.2">
      <c r="A282" s="611">
        <v>44743</v>
      </c>
      <c r="B282" s="572" t="s">
        <v>825</v>
      </c>
      <c r="C282" s="609">
        <v>351.95</v>
      </c>
      <c r="D282" s="609">
        <v>1.5</v>
      </c>
      <c r="E282" s="609">
        <v>2.5</v>
      </c>
      <c r="F282" s="609">
        <v>3.5</v>
      </c>
      <c r="G282" s="609">
        <v>7.9</v>
      </c>
      <c r="H282" s="609">
        <v>367.34999999999997</v>
      </c>
      <c r="I282" s="601">
        <v>0.72673168920233955</v>
      </c>
      <c r="J282" s="601">
        <v>-2.6259159709305773</v>
      </c>
      <c r="K282" s="601">
        <v>6.081890860301387</v>
      </c>
      <c r="L282" s="601">
        <v>26.647852648389566</v>
      </c>
    </row>
    <row r="283" spans="1:12" s="488" customFormat="1" ht="12.75" x14ac:dyDescent="0.2">
      <c r="A283" s="611">
        <v>44774</v>
      </c>
      <c r="B283" s="572" t="s">
        <v>825</v>
      </c>
      <c r="C283" s="609">
        <v>403.7</v>
      </c>
      <c r="D283" s="609">
        <v>47.55</v>
      </c>
      <c r="E283" s="609">
        <v>9.1</v>
      </c>
      <c r="F283" s="609">
        <v>21.6</v>
      </c>
      <c r="G283" s="609">
        <v>2</v>
      </c>
      <c r="H283" s="609">
        <v>483.95000000000005</v>
      </c>
      <c r="I283" s="601">
        <v>11.236512433906007</v>
      </c>
      <c r="J283" s="601">
        <v>1.6783689929711976</v>
      </c>
      <c r="K283" s="601">
        <v>2.647100614862735</v>
      </c>
      <c r="L283" s="601">
        <v>26.330265890282462</v>
      </c>
    </row>
    <row r="284" spans="1:12" s="488" customFormat="1" ht="12.75" x14ac:dyDescent="0.2">
      <c r="A284" s="611">
        <v>44805</v>
      </c>
      <c r="B284" s="572" t="s">
        <v>825</v>
      </c>
      <c r="C284" s="609">
        <v>280.43</v>
      </c>
      <c r="D284" s="609">
        <v>102.8</v>
      </c>
      <c r="E284" s="609">
        <v>12.129999999999999</v>
      </c>
      <c r="F284" s="609">
        <v>10</v>
      </c>
      <c r="G284" s="609">
        <v>1.33</v>
      </c>
      <c r="H284" s="609">
        <v>406.69</v>
      </c>
      <c r="I284" s="601">
        <v>3.8338637198156196</v>
      </c>
      <c r="J284" s="601">
        <v>1.9025134090455504</v>
      </c>
      <c r="K284" s="601">
        <v>1.512018438980653</v>
      </c>
      <c r="L284" s="601">
        <v>28.80596162346011</v>
      </c>
    </row>
    <row r="285" spans="1:12" s="488" customFormat="1" ht="12.75" x14ac:dyDescent="0.2">
      <c r="A285" s="611">
        <v>44835</v>
      </c>
      <c r="B285" s="572" t="s">
        <v>825</v>
      </c>
      <c r="C285" s="609">
        <v>255.35000000000002</v>
      </c>
      <c r="D285" s="609">
        <v>65.8</v>
      </c>
      <c r="E285" s="609">
        <v>33</v>
      </c>
      <c r="F285" s="609">
        <v>3</v>
      </c>
      <c r="G285" s="609">
        <v>0</v>
      </c>
      <c r="H285" s="609">
        <v>357.15000000000003</v>
      </c>
      <c r="I285" s="601">
        <v>2.393092367394015</v>
      </c>
      <c r="J285" s="601">
        <v>0.59863695670748707</v>
      </c>
      <c r="K285" s="601">
        <v>1.6664200224426122</v>
      </c>
      <c r="L285" s="601">
        <v>28.346942834057767</v>
      </c>
    </row>
    <row r="286" spans="1:12" s="488" customFormat="1" ht="12.75" x14ac:dyDescent="0.2">
      <c r="A286" s="611">
        <v>44866</v>
      </c>
      <c r="B286" s="572" t="s">
        <v>825</v>
      </c>
      <c r="C286" s="609">
        <v>268.68</v>
      </c>
      <c r="D286" s="609">
        <v>41</v>
      </c>
      <c r="E286" s="609">
        <v>16</v>
      </c>
      <c r="F286" s="609">
        <v>14</v>
      </c>
      <c r="G286" s="609">
        <v>2.5</v>
      </c>
      <c r="H286" s="609">
        <v>342.18</v>
      </c>
      <c r="I286" s="601">
        <v>8.0298379330970349</v>
      </c>
      <c r="J286" s="601">
        <v>2.4023204705148027</v>
      </c>
      <c r="K286" s="601">
        <v>5.3342084115245996</v>
      </c>
      <c r="L286" s="601">
        <v>28.058093789914768</v>
      </c>
    </row>
    <row r="287" spans="1:12" s="488" customFormat="1" ht="12.75" x14ac:dyDescent="0.2">
      <c r="A287" s="611">
        <v>44896</v>
      </c>
      <c r="B287" s="572" t="s">
        <v>825</v>
      </c>
      <c r="C287" s="609">
        <v>332.05999999999995</v>
      </c>
      <c r="D287" s="609">
        <v>57.75</v>
      </c>
      <c r="E287" s="609">
        <v>10</v>
      </c>
      <c r="F287" s="609">
        <v>5</v>
      </c>
      <c r="G287" s="609">
        <v>1.5</v>
      </c>
      <c r="H287" s="609">
        <v>406.30999999999995</v>
      </c>
      <c r="I287" s="601">
        <v>7.4442902024038942</v>
      </c>
      <c r="J287" s="601">
        <v>7.1441834977112819</v>
      </c>
      <c r="K287" s="601">
        <v>6.8158540542249426</v>
      </c>
      <c r="L287" s="601">
        <v>27.725354678952563</v>
      </c>
    </row>
    <row r="288" spans="1:12" s="488" customFormat="1" ht="12.75" x14ac:dyDescent="0.2">
      <c r="A288" s="612">
        <v>44927</v>
      </c>
      <c r="B288" s="578" t="s">
        <v>825</v>
      </c>
      <c r="C288" s="608">
        <v>332.59</v>
      </c>
      <c r="D288" s="608">
        <v>96.63</v>
      </c>
      <c r="E288" s="608">
        <v>7</v>
      </c>
      <c r="F288" s="608">
        <v>11</v>
      </c>
      <c r="G288" s="608">
        <v>0</v>
      </c>
      <c r="H288" s="608">
        <v>447.21999999999997</v>
      </c>
      <c r="I288" s="603">
        <v>10.979103380260511</v>
      </c>
      <c r="J288" s="603">
        <v>17.118519103630202</v>
      </c>
      <c r="K288" s="603">
        <v>9.3938140799670027</v>
      </c>
      <c r="L288" s="603">
        <v>25.777905570371377</v>
      </c>
    </row>
    <row r="289" spans="1:12" s="488" customFormat="1" ht="12.75" x14ac:dyDescent="0.2">
      <c r="A289" s="612">
        <v>44958</v>
      </c>
      <c r="B289" s="578" t="s">
        <v>825</v>
      </c>
      <c r="C289" s="608">
        <v>338.4</v>
      </c>
      <c r="D289" s="608">
        <v>156.63</v>
      </c>
      <c r="E289" s="608">
        <v>27.5</v>
      </c>
      <c r="F289" s="608">
        <v>34.5</v>
      </c>
      <c r="G289" s="608">
        <v>2.5</v>
      </c>
      <c r="H289" s="608">
        <v>559.53</v>
      </c>
      <c r="I289" s="603">
        <v>12.811869649086029</v>
      </c>
      <c r="J289" s="603">
        <v>15.006206570261076</v>
      </c>
      <c r="K289" s="603">
        <v>9.2704903839733213</v>
      </c>
      <c r="L289" s="603">
        <v>24.633800504765535</v>
      </c>
    </row>
    <row r="290" spans="1:12" s="488" customFormat="1" ht="12.75" x14ac:dyDescent="0.2">
      <c r="A290" s="612">
        <v>44986</v>
      </c>
      <c r="B290" s="578" t="s">
        <v>825</v>
      </c>
      <c r="C290" s="608">
        <v>275.60000000000002</v>
      </c>
      <c r="D290" s="608">
        <v>144</v>
      </c>
      <c r="E290" s="608">
        <v>28.5</v>
      </c>
      <c r="F290" s="608">
        <v>73.75</v>
      </c>
      <c r="G290" s="608">
        <v>24</v>
      </c>
      <c r="H290" s="608">
        <v>545.85</v>
      </c>
      <c r="I290" s="603">
        <v>7.2928350973567611</v>
      </c>
      <c r="J290" s="603">
        <v>7.7941314203017757</v>
      </c>
      <c r="K290" s="603">
        <v>9.9009142617392421</v>
      </c>
      <c r="L290" s="603">
        <v>22.480617152683106</v>
      </c>
    </row>
    <row r="291" spans="1:12" s="488" customFormat="1" ht="12.75" x14ac:dyDescent="0.2">
      <c r="A291" s="612">
        <v>45017</v>
      </c>
      <c r="B291" s="578" t="s">
        <v>825</v>
      </c>
      <c r="C291" s="608">
        <v>172.25</v>
      </c>
      <c r="D291" s="608">
        <v>97.25</v>
      </c>
      <c r="E291" s="608">
        <v>12</v>
      </c>
      <c r="F291" s="608">
        <v>18.5</v>
      </c>
      <c r="G291" s="608">
        <v>14</v>
      </c>
      <c r="H291" s="608">
        <v>314</v>
      </c>
      <c r="I291" s="603">
        <v>17.845723956655913</v>
      </c>
      <c r="J291" s="603">
        <v>16.157279226342801</v>
      </c>
      <c r="K291" s="603">
        <v>9.8349857824697722</v>
      </c>
      <c r="L291" s="603">
        <v>19.67579758602221</v>
      </c>
    </row>
    <row r="292" spans="1:12" s="488" customFormat="1" ht="12.75" x14ac:dyDescent="0.2">
      <c r="A292" s="612">
        <v>45047</v>
      </c>
      <c r="B292" s="578" t="s">
        <v>825</v>
      </c>
      <c r="C292" s="608">
        <v>125.8</v>
      </c>
      <c r="D292" s="608">
        <v>184.5</v>
      </c>
      <c r="E292" s="608">
        <v>28.75</v>
      </c>
      <c r="F292" s="608">
        <v>52.25</v>
      </c>
      <c r="G292" s="608">
        <v>10.5</v>
      </c>
      <c r="H292" s="608">
        <v>401.8</v>
      </c>
      <c r="I292" s="603">
        <v>14.085201887125777</v>
      </c>
      <c r="J292" s="603">
        <v>19.296423626849041</v>
      </c>
      <c r="K292" s="603">
        <v>9.6610494430692366</v>
      </c>
      <c r="L292" s="603">
        <v>20.030544197473827</v>
      </c>
    </row>
    <row r="293" spans="1:12" s="488" customFormat="1" ht="12.75" x14ac:dyDescent="0.2">
      <c r="A293" s="612">
        <v>45078</v>
      </c>
      <c r="B293" s="578" t="s">
        <v>825</v>
      </c>
      <c r="C293" s="608">
        <v>137.88</v>
      </c>
      <c r="D293" s="608">
        <v>170.95</v>
      </c>
      <c r="E293" s="608">
        <v>6.55</v>
      </c>
      <c r="F293" s="608">
        <v>42</v>
      </c>
      <c r="G293" s="608">
        <v>0.35</v>
      </c>
      <c r="H293" s="608">
        <v>357.73</v>
      </c>
      <c r="I293" s="603">
        <v>12.115046888017178</v>
      </c>
      <c r="J293" s="603">
        <v>13.844462937531796</v>
      </c>
      <c r="K293" s="603">
        <v>6.6415748914351669</v>
      </c>
      <c r="L293" s="603">
        <v>17.85131705720374</v>
      </c>
    </row>
    <row r="294" spans="1:12" s="488" customFormat="1" ht="12.75" x14ac:dyDescent="0.2">
      <c r="A294" s="612">
        <v>45108</v>
      </c>
      <c r="B294" s="578" t="s">
        <v>825</v>
      </c>
      <c r="C294" s="608">
        <v>117.61000000000001</v>
      </c>
      <c r="D294" s="608">
        <v>212.75</v>
      </c>
      <c r="E294" s="608">
        <v>60</v>
      </c>
      <c r="F294" s="608">
        <v>51</v>
      </c>
      <c r="G294" s="608">
        <v>0</v>
      </c>
      <c r="H294" s="608">
        <v>441.36</v>
      </c>
      <c r="I294" s="603">
        <v>12.492521125268876</v>
      </c>
      <c r="J294" s="603">
        <v>5.0100466262880907</v>
      </c>
      <c r="K294" s="603">
        <v>5.3463522930153102</v>
      </c>
      <c r="L294" s="603">
        <v>13.580080750248538</v>
      </c>
    </row>
    <row r="295" spans="1:12" s="488" customFormat="1" ht="12.75" x14ac:dyDescent="0.2">
      <c r="A295" s="612">
        <v>45139</v>
      </c>
      <c r="B295" s="578" t="s">
        <v>825</v>
      </c>
      <c r="C295" s="608">
        <v>146.54999999999998</v>
      </c>
      <c r="D295" s="608">
        <v>296.90000000000003</v>
      </c>
      <c r="E295" s="608">
        <v>10.42</v>
      </c>
      <c r="F295" s="608">
        <v>43.2</v>
      </c>
      <c r="G295" s="608">
        <v>10.55</v>
      </c>
      <c r="H295" s="608">
        <v>507.62000000000006</v>
      </c>
      <c r="I295" s="603">
        <v>11.074851679265777</v>
      </c>
      <c r="J295" s="603">
        <v>10.796012631474756</v>
      </c>
      <c r="K295" s="603">
        <v>4.9992714134289802</v>
      </c>
      <c r="L295" s="603">
        <v>12.983772346168575</v>
      </c>
    </row>
    <row r="296" spans="1:12" s="488" customFormat="1" ht="12.75" x14ac:dyDescent="0.2">
      <c r="A296" s="612">
        <v>45170</v>
      </c>
      <c r="B296" s="578" t="s">
        <v>825</v>
      </c>
      <c r="C296" s="608">
        <v>222</v>
      </c>
      <c r="D296" s="608">
        <v>207.95</v>
      </c>
      <c r="E296" s="608">
        <v>29.7</v>
      </c>
      <c r="F296" s="608">
        <v>21</v>
      </c>
      <c r="G296" s="608">
        <v>3.34</v>
      </c>
      <c r="H296" s="608">
        <v>483.98999999999995</v>
      </c>
      <c r="I296" s="603">
        <v>11.366733468719744</v>
      </c>
      <c r="J296" s="603">
        <v>11.111590316113032</v>
      </c>
      <c r="K296" s="603">
        <v>4.8924346805983472</v>
      </c>
      <c r="L296" s="603">
        <v>12.366122070328645</v>
      </c>
    </row>
    <row r="297" spans="1:12" s="488" customFormat="1" ht="12.75" x14ac:dyDescent="0.2">
      <c r="A297" s="612">
        <v>45200</v>
      </c>
      <c r="B297" s="578" t="s">
        <v>825</v>
      </c>
      <c r="C297" s="608">
        <v>228.7</v>
      </c>
      <c r="D297" s="608">
        <v>269.29999999999995</v>
      </c>
      <c r="E297" s="608">
        <v>38.729999999999997</v>
      </c>
      <c r="F297" s="608">
        <v>28.5</v>
      </c>
      <c r="G297" s="608">
        <v>23</v>
      </c>
      <c r="H297" s="608">
        <v>588.2299999999999</v>
      </c>
      <c r="I297" s="603">
        <v>9.8528027511891239</v>
      </c>
      <c r="J297" s="603">
        <v>9.1793946618253059</v>
      </c>
      <c r="K297" s="603">
        <v>4.0367548354505738</v>
      </c>
      <c r="L297" s="603">
        <v>10.829820298430034</v>
      </c>
    </row>
    <row r="298" spans="1:12" s="488" customFormat="1" ht="12.75" x14ac:dyDescent="0.2">
      <c r="A298" s="612">
        <v>45231</v>
      </c>
      <c r="B298" s="578" t="s">
        <v>825</v>
      </c>
      <c r="C298" s="608">
        <v>258.95999999999992</v>
      </c>
      <c r="D298" s="608">
        <v>220.49</v>
      </c>
      <c r="E298" s="608">
        <v>57.08</v>
      </c>
      <c r="F298" s="608">
        <v>31.13</v>
      </c>
      <c r="G298" s="608">
        <v>5.12</v>
      </c>
      <c r="H298" s="608">
        <v>572.78</v>
      </c>
      <c r="I298" s="603">
        <v>7.7649645131354399</v>
      </c>
      <c r="J298" s="603">
        <v>7.438924733827176</v>
      </c>
      <c r="K298" s="603">
        <v>3.5631074066700537</v>
      </c>
      <c r="L298" s="603">
        <v>9.7220958690016133</v>
      </c>
    </row>
    <row r="299" spans="1:12" s="488" customFormat="1" ht="12.75" x14ac:dyDescent="0.2">
      <c r="A299" s="612">
        <v>45261</v>
      </c>
      <c r="B299" s="578" t="s">
        <v>825</v>
      </c>
      <c r="C299" s="608">
        <v>147.1</v>
      </c>
      <c r="D299" s="608">
        <v>190.95000000000002</v>
      </c>
      <c r="E299" s="608">
        <v>37.909999999999997</v>
      </c>
      <c r="F299" s="608">
        <v>59.95</v>
      </c>
      <c r="G299" s="608">
        <v>25.12</v>
      </c>
      <c r="H299" s="608">
        <v>461.03000000000003</v>
      </c>
      <c r="I299" s="603">
        <v>6.3210202964700608</v>
      </c>
      <c r="J299" s="603">
        <v>7.1838358219586409</v>
      </c>
      <c r="K299" s="603">
        <v>2.788583535615953</v>
      </c>
      <c r="L299" s="603">
        <v>8.8849031711337076</v>
      </c>
    </row>
    <row r="300" spans="1:12" s="488" customFormat="1" ht="12.75" x14ac:dyDescent="0.2">
      <c r="A300" s="611">
        <v>45292</v>
      </c>
      <c r="B300" s="572" t="s">
        <v>825</v>
      </c>
      <c r="C300" s="609">
        <v>139.69999999999999</v>
      </c>
      <c r="D300" s="609">
        <v>237.1</v>
      </c>
      <c r="E300" s="609">
        <v>42.15</v>
      </c>
      <c r="F300" s="609">
        <v>79</v>
      </c>
      <c r="G300" s="609">
        <v>36.5</v>
      </c>
      <c r="H300" s="609">
        <v>534.44999999999993</v>
      </c>
      <c r="I300" s="601">
        <v>4.7790369930643868</v>
      </c>
      <c r="J300" s="601">
        <v>4.4083469271363214</v>
      </c>
      <c r="K300" s="601">
        <v>2.851617211237111</v>
      </c>
      <c r="L300" s="601">
        <v>8.4054560305685158</v>
      </c>
    </row>
    <row r="301" spans="1:12" s="488" customFormat="1" ht="12.75" x14ac:dyDescent="0.2">
      <c r="A301" s="611">
        <v>45323</v>
      </c>
      <c r="B301" s="572" t="s">
        <v>825</v>
      </c>
      <c r="C301" s="609">
        <v>151.93</v>
      </c>
      <c r="D301" s="609">
        <v>262.25</v>
      </c>
      <c r="E301" s="609">
        <v>4.8</v>
      </c>
      <c r="F301" s="609">
        <v>10.85</v>
      </c>
      <c r="G301" s="609">
        <v>19</v>
      </c>
      <c r="H301" s="609">
        <v>448.83000000000004</v>
      </c>
      <c r="I301" s="601">
        <v>3.5596065471639959</v>
      </c>
      <c r="J301" s="601">
        <v>4.7781014123430712</v>
      </c>
      <c r="K301" s="601">
        <v>2.9011903031379811</v>
      </c>
      <c r="L301" s="601">
        <v>5.0967300653123129</v>
      </c>
    </row>
    <row r="302" spans="1:12" s="488" customFormat="1" ht="12.75" x14ac:dyDescent="0.2">
      <c r="A302" s="611">
        <v>45352</v>
      </c>
      <c r="B302" s="572" t="s">
        <v>825</v>
      </c>
      <c r="C302" s="609">
        <v>167.09999999999997</v>
      </c>
      <c r="D302" s="609">
        <v>223.87</v>
      </c>
      <c r="E302" s="609">
        <v>75.320000000000007</v>
      </c>
      <c r="F302" s="609">
        <v>58.660000000000004</v>
      </c>
      <c r="G302" s="609">
        <v>43.289999999999992</v>
      </c>
      <c r="H302" s="609">
        <v>568.2399999999999</v>
      </c>
      <c r="I302" s="601">
        <v>2.7095942007881662</v>
      </c>
      <c r="J302" s="601">
        <v>3.181021776607432</v>
      </c>
      <c r="K302" s="601">
        <v>2.8641418615085832</v>
      </c>
      <c r="L302" s="601">
        <v>4.6497789571527841</v>
      </c>
    </row>
    <row r="303" spans="1:12" s="488" customFormat="1" ht="12.75" x14ac:dyDescent="0.2">
      <c r="A303" s="611">
        <v>45383</v>
      </c>
      <c r="B303" s="572" t="s">
        <v>825</v>
      </c>
      <c r="C303" s="609">
        <v>81.050000000000011</v>
      </c>
      <c r="D303" s="609">
        <v>164.04999999999998</v>
      </c>
      <c r="E303" s="609">
        <v>55</v>
      </c>
      <c r="F303" s="609">
        <v>63.05</v>
      </c>
      <c r="G303" s="609">
        <v>65</v>
      </c>
      <c r="H303" s="609">
        <v>428.15000000000003</v>
      </c>
      <c r="I303" s="601">
        <v>1.7799166002121531</v>
      </c>
      <c r="J303" s="601">
        <v>1.3305003461165565</v>
      </c>
      <c r="K303" s="601">
        <v>2.4307496974460738</v>
      </c>
      <c r="L303" s="601">
        <v>4.6067764070295727</v>
      </c>
    </row>
    <row r="304" spans="1:12" s="488" customFormat="1" ht="12.75" x14ac:dyDescent="0.2">
      <c r="A304" s="611">
        <v>45413</v>
      </c>
      <c r="B304" s="572" t="s">
        <v>825</v>
      </c>
      <c r="C304" s="609">
        <v>89.449999999999989</v>
      </c>
      <c r="D304" s="609">
        <v>201.25</v>
      </c>
      <c r="E304" s="609">
        <v>35.25</v>
      </c>
      <c r="F304" s="609">
        <v>16.5</v>
      </c>
      <c r="G304" s="609">
        <v>2</v>
      </c>
      <c r="H304" s="609">
        <v>344.45</v>
      </c>
      <c r="I304" s="601">
        <v>1.931038189663409</v>
      </c>
      <c r="J304" s="601">
        <v>2.4019132175511482</v>
      </c>
      <c r="K304" s="601">
        <v>2.4459947265163144</v>
      </c>
      <c r="L304" s="601">
        <v>3.7342943675604259</v>
      </c>
    </row>
    <row r="305" spans="1:23" s="488" customFormat="1" ht="12.75" x14ac:dyDescent="0.2">
      <c r="A305" s="611">
        <v>45444</v>
      </c>
      <c r="B305" s="572" t="s">
        <v>825</v>
      </c>
      <c r="C305" s="609">
        <v>99.199999999999989</v>
      </c>
      <c r="D305" s="609">
        <v>149.38</v>
      </c>
      <c r="E305" s="609">
        <v>33.76</v>
      </c>
      <c r="F305" s="609">
        <v>62.5</v>
      </c>
      <c r="G305" s="609">
        <v>5.8</v>
      </c>
      <c r="H305" s="609">
        <v>350.64</v>
      </c>
      <c r="I305" s="601">
        <v>2.8804550756468843</v>
      </c>
      <c r="J305" s="601">
        <v>2.2032289942327141</v>
      </c>
      <c r="K305" s="601">
        <v>2.4942563120630683</v>
      </c>
      <c r="L305" s="601">
        <v>3.505090670853324</v>
      </c>
    </row>
    <row r="306" spans="1:23" s="488" customFormat="1" ht="12.75" x14ac:dyDescent="0.2">
      <c r="A306" s="611">
        <v>45474</v>
      </c>
      <c r="B306" s="572" t="s">
        <v>825</v>
      </c>
      <c r="C306" s="609">
        <v>63.35</v>
      </c>
      <c r="D306" s="609">
        <v>184.38</v>
      </c>
      <c r="E306" s="609">
        <v>57.5</v>
      </c>
      <c r="F306" s="609">
        <v>81</v>
      </c>
      <c r="G306" s="609">
        <v>22.75</v>
      </c>
      <c r="H306" s="609">
        <v>408.98</v>
      </c>
      <c r="I306" s="601">
        <v>2.331220600005655</v>
      </c>
      <c r="J306" s="601">
        <v>2.6032250005745055</v>
      </c>
      <c r="K306" s="601">
        <v>2.4742706379488495</v>
      </c>
      <c r="L306" s="601">
        <v>4.2793141674578417</v>
      </c>
    </row>
    <row r="307" spans="1:23" s="488" customFormat="1" ht="12.75" x14ac:dyDescent="0.2">
      <c r="A307" s="611">
        <v>45505</v>
      </c>
      <c r="B307" s="572" t="s">
        <v>825</v>
      </c>
      <c r="C307" s="609">
        <v>54.75</v>
      </c>
      <c r="D307" s="609">
        <v>157</v>
      </c>
      <c r="E307" s="609">
        <v>54.95</v>
      </c>
      <c r="F307" s="609">
        <v>45</v>
      </c>
      <c r="G307" s="609">
        <v>13.6</v>
      </c>
      <c r="H307" s="609">
        <v>325.3</v>
      </c>
      <c r="I307" s="601">
        <v>2.0268085667497764</v>
      </c>
      <c r="J307" s="601">
        <v>2.9066458981934722</v>
      </c>
      <c r="K307" s="601">
        <v>2.3525270676207182</v>
      </c>
      <c r="L307" s="601">
        <v>3.904842544606427</v>
      </c>
    </row>
    <row r="308" spans="1:23" s="488" customFormat="1" ht="12.75" x14ac:dyDescent="0.2">
      <c r="A308" s="611">
        <v>45536</v>
      </c>
      <c r="B308" s="572" t="s">
        <v>825</v>
      </c>
      <c r="C308" s="609">
        <v>81.750000000000014</v>
      </c>
      <c r="D308" s="609">
        <v>113.75</v>
      </c>
      <c r="E308" s="609">
        <v>48.44</v>
      </c>
      <c r="F308" s="609">
        <v>34.040000000000006</v>
      </c>
      <c r="G308" s="609">
        <v>8.0500000000000007</v>
      </c>
      <c r="H308" s="609">
        <v>286.03000000000003</v>
      </c>
      <c r="I308" s="601">
        <v>3.3148313184819971</v>
      </c>
      <c r="J308" s="601">
        <v>3.484296891558023</v>
      </c>
      <c r="K308" s="601">
        <v>2.4122137212369164</v>
      </c>
      <c r="L308" s="601">
        <v>4.6419763892223029</v>
      </c>
    </row>
    <row r="309" spans="1:23" s="488" customFormat="1" ht="12.75" x14ac:dyDescent="0.2">
      <c r="A309" s="611">
        <v>45566</v>
      </c>
      <c r="B309" s="572" t="s">
        <v>825</v>
      </c>
      <c r="C309" s="609">
        <v>70.97</v>
      </c>
      <c r="D309" s="609">
        <v>108.6</v>
      </c>
      <c r="E309" s="609">
        <v>112.56</v>
      </c>
      <c r="F309" s="609">
        <v>33.099999999999994</v>
      </c>
      <c r="G309" s="609">
        <v>42.900000000000006</v>
      </c>
      <c r="H309" s="609">
        <v>368.13</v>
      </c>
      <c r="I309" s="601">
        <v>3.7121493122123157</v>
      </c>
      <c r="J309" s="601">
        <v>2.9889102289768426</v>
      </c>
      <c r="K309" s="601">
        <v>2.7390483216872803</v>
      </c>
      <c r="L309" s="601">
        <v>4.3403373723670509</v>
      </c>
    </row>
    <row r="310" spans="1:23" s="488" customFormat="1" x14ac:dyDescent="0.25">
      <c r="A310" s="611">
        <v>45597</v>
      </c>
      <c r="B310" s="572" t="s">
        <v>825</v>
      </c>
      <c r="C310" s="609">
        <v>119.6</v>
      </c>
      <c r="D310" s="609">
        <v>167.75</v>
      </c>
      <c r="E310" s="609">
        <v>139.88</v>
      </c>
      <c r="F310" s="609">
        <v>101.25</v>
      </c>
      <c r="G310" s="609">
        <v>2.75</v>
      </c>
      <c r="H310" s="609">
        <v>531.23</v>
      </c>
      <c r="I310" s="601">
        <v>2.7071470580149013</v>
      </c>
      <c r="J310" s="601">
        <v>2.7698260200640084</v>
      </c>
      <c r="K310" s="601">
        <v>2.8691226138997683</v>
      </c>
      <c r="L310" s="601">
        <v>4.2600752702255829</v>
      </c>
      <c r="N310" s="458"/>
      <c r="O310" s="458"/>
      <c r="P310" s="458"/>
      <c r="Q310" s="458"/>
      <c r="R310" s="458"/>
      <c r="S310" s="458"/>
      <c r="T310" s="458"/>
      <c r="U310" s="458"/>
      <c r="V310" s="458"/>
      <c r="W310" s="458"/>
    </row>
    <row r="311" spans="1:23" s="488" customFormat="1" x14ac:dyDescent="0.25">
      <c r="A311" s="611">
        <v>45627</v>
      </c>
      <c r="B311" s="572" t="s">
        <v>825</v>
      </c>
      <c r="C311" s="609">
        <v>158.35</v>
      </c>
      <c r="D311" s="609">
        <v>107.65</v>
      </c>
      <c r="E311" s="609">
        <v>34.5</v>
      </c>
      <c r="F311" s="609">
        <v>84.3</v>
      </c>
      <c r="G311" s="609">
        <v>44</v>
      </c>
      <c r="H311" s="609">
        <v>428.8</v>
      </c>
      <c r="I311" s="601">
        <v>2.1497960968708982</v>
      </c>
      <c r="J311" s="601">
        <v>1.02947863257345</v>
      </c>
      <c r="K311" s="601">
        <v>2.6325628438366344</v>
      </c>
      <c r="L311" s="601">
        <v>4.4590374307071459</v>
      </c>
      <c r="N311" s="458"/>
      <c r="O311" s="458"/>
      <c r="P311" s="458"/>
      <c r="Q311" s="458"/>
      <c r="R311" s="458"/>
      <c r="S311" s="458"/>
      <c r="T311" s="458"/>
      <c r="U311" s="458"/>
      <c r="V311" s="458"/>
      <c r="W311" s="458"/>
    </row>
    <row r="312" spans="1:23" s="488" customFormat="1" x14ac:dyDescent="0.25">
      <c r="A312" s="613">
        <v>45658</v>
      </c>
      <c r="B312" s="578" t="s">
        <v>825</v>
      </c>
      <c r="C312" s="608">
        <v>156.94999999999999</v>
      </c>
      <c r="D312" s="608">
        <v>271.93</v>
      </c>
      <c r="E312" s="608">
        <v>30.18</v>
      </c>
      <c r="F312" s="608">
        <v>140.28</v>
      </c>
      <c r="G312" s="608">
        <v>26.65</v>
      </c>
      <c r="H312" s="608">
        <v>625.99</v>
      </c>
      <c r="I312" s="614">
        <v>2.0138086074954979</v>
      </c>
      <c r="J312" s="614">
        <v>1.8310718586464876</v>
      </c>
      <c r="K312" s="614">
        <v>2.789256743735224</v>
      </c>
      <c r="L312" s="614">
        <v>3.6570074506994281</v>
      </c>
      <c r="N312" s="458"/>
      <c r="O312" s="458"/>
      <c r="P312" s="458"/>
      <c r="Q312" s="458"/>
      <c r="R312" s="458"/>
      <c r="S312" s="458"/>
      <c r="T312" s="458"/>
      <c r="U312" s="458"/>
      <c r="V312" s="458"/>
      <c r="W312" s="458"/>
    </row>
    <row r="313" spans="1:23" s="488" customFormat="1" x14ac:dyDescent="0.25">
      <c r="A313" s="613">
        <v>45689</v>
      </c>
      <c r="B313" s="578" t="s">
        <v>825</v>
      </c>
      <c r="C313" s="608">
        <v>72.11</v>
      </c>
      <c r="D313" s="608">
        <v>201.1</v>
      </c>
      <c r="E313" s="608">
        <v>48.5</v>
      </c>
      <c r="F313" s="608">
        <v>33.93</v>
      </c>
      <c r="G313" s="608">
        <v>9.07</v>
      </c>
      <c r="H313" s="608">
        <v>364.71</v>
      </c>
      <c r="I313" s="614">
        <v>2.1496871532454551</v>
      </c>
      <c r="J313" s="614">
        <v>2.6230638810897808</v>
      </c>
      <c r="K313" s="614">
        <v>2.8383827947092954</v>
      </c>
      <c r="L313" s="614">
        <v>3.1992684607459809</v>
      </c>
      <c r="N313" s="458"/>
      <c r="O313" s="458"/>
      <c r="P313" s="458"/>
      <c r="Q313" s="458"/>
      <c r="R313" s="458"/>
      <c r="S313" s="458"/>
      <c r="T313" s="458"/>
      <c r="U313" s="458"/>
      <c r="V313" s="458"/>
      <c r="W313" s="458"/>
    </row>
    <row r="314" spans="1:23" s="488" customFormat="1" x14ac:dyDescent="0.25">
      <c r="A314" s="613">
        <v>45717</v>
      </c>
      <c r="B314" s="578" t="s">
        <v>825</v>
      </c>
      <c r="C314" s="608">
        <v>183.65</v>
      </c>
      <c r="D314" s="608">
        <v>178.3</v>
      </c>
      <c r="E314" s="608">
        <v>42.66</v>
      </c>
      <c r="F314" s="608">
        <v>36.75</v>
      </c>
      <c r="G314" s="608">
        <v>2.75</v>
      </c>
      <c r="H314" s="608">
        <v>444.11</v>
      </c>
      <c r="I314" s="614">
        <v>2.2838670578348883</v>
      </c>
      <c r="J314" s="614">
        <v>2.0038483546010091</v>
      </c>
      <c r="K314" s="614">
        <v>2.8117740183329025</v>
      </c>
      <c r="L314" s="614">
        <v>3.1054057622931857</v>
      </c>
      <c r="N314" s="458"/>
      <c r="O314" s="458"/>
      <c r="P314" s="458"/>
      <c r="Q314" s="458"/>
      <c r="R314" s="458"/>
      <c r="S314" s="458"/>
      <c r="T314" s="458"/>
      <c r="U314" s="458"/>
      <c r="V314" s="458"/>
      <c r="W314" s="458"/>
    </row>
    <row r="315" spans="1:23" s="488" customFormat="1" x14ac:dyDescent="0.25">
      <c r="A315" s="613">
        <v>45748</v>
      </c>
      <c r="B315" s="578" t="s">
        <v>825</v>
      </c>
      <c r="C315" s="608">
        <v>151.68</v>
      </c>
      <c r="D315" s="608">
        <v>190.79999999999998</v>
      </c>
      <c r="E315" s="608">
        <v>35</v>
      </c>
      <c r="F315" s="608">
        <v>116.55</v>
      </c>
      <c r="G315" s="608">
        <v>27.3</v>
      </c>
      <c r="H315" s="608">
        <v>521.33000000000004</v>
      </c>
      <c r="I315" s="614">
        <v>3.1013936085515801</v>
      </c>
      <c r="J315" s="614">
        <v>2.3699997065645668</v>
      </c>
      <c r="K315" s="614">
        <v>2.812757839054457</v>
      </c>
      <c r="L315" s="614">
        <v>3.1947935485668877</v>
      </c>
      <c r="N315" s="458"/>
      <c r="O315" s="458"/>
      <c r="P315" s="458"/>
      <c r="Q315" s="458"/>
      <c r="R315" s="458"/>
      <c r="S315" s="458"/>
      <c r="T315" s="458"/>
      <c r="U315" s="458"/>
      <c r="V315" s="458"/>
      <c r="W315" s="458"/>
    </row>
    <row r="316" spans="1:23" s="488" customFormat="1" x14ac:dyDescent="0.25">
      <c r="A316" s="613">
        <v>45778</v>
      </c>
      <c r="B316" s="578" t="s">
        <v>825</v>
      </c>
      <c r="C316" s="608">
        <v>194.93</v>
      </c>
      <c r="D316" s="608">
        <v>199.04999999999998</v>
      </c>
      <c r="E316" s="608">
        <v>67.5</v>
      </c>
      <c r="F316" s="608">
        <v>90.199999999999989</v>
      </c>
      <c r="G316" s="608">
        <v>27</v>
      </c>
      <c r="H316" s="608">
        <v>578.68000000000006</v>
      </c>
      <c r="I316" s="614">
        <v>2.434716194125798</v>
      </c>
      <c r="J316" s="614">
        <v>2.3016775801664013</v>
      </c>
      <c r="K316" s="614">
        <v>2.7616957286443533</v>
      </c>
      <c r="L316" s="614">
        <v>3.2386508437006709</v>
      </c>
      <c r="N316" s="458"/>
      <c r="O316" s="458"/>
      <c r="P316" s="458"/>
      <c r="Q316" s="458"/>
      <c r="R316" s="458"/>
      <c r="S316" s="458"/>
      <c r="T316" s="458"/>
      <c r="U316" s="458"/>
      <c r="V316" s="458"/>
      <c r="W316" s="458"/>
    </row>
    <row r="317" spans="1:23" s="488" customFormat="1" x14ac:dyDescent="0.25">
      <c r="A317" s="613">
        <v>45809</v>
      </c>
      <c r="B317" s="582" t="s">
        <v>825</v>
      </c>
      <c r="C317" s="615">
        <v>130.16</v>
      </c>
      <c r="D317" s="615">
        <v>155.08000000000001</v>
      </c>
      <c r="E317" s="615">
        <v>97.350000000000009</v>
      </c>
      <c r="F317" s="616">
        <v>160.97999999999999</v>
      </c>
      <c r="G317" s="615">
        <v>57.800000000000004</v>
      </c>
      <c r="H317" s="616">
        <v>601.37</v>
      </c>
      <c r="I317" s="614">
        <v>1.948411632600612</v>
      </c>
      <c r="J317" s="614">
        <v>1.8487410599668419</v>
      </c>
      <c r="K317" s="614">
        <v>2.6309127061590578</v>
      </c>
      <c r="L317" s="617">
        <v>3.1724039421249417</v>
      </c>
      <c r="N317" s="458"/>
      <c r="O317" s="458"/>
      <c r="P317" s="458"/>
      <c r="Q317" s="458"/>
      <c r="R317" s="458"/>
      <c r="S317" s="458"/>
      <c r="T317" s="458"/>
      <c r="U317" s="458"/>
      <c r="V317" s="458"/>
      <c r="W317" s="458"/>
    </row>
    <row r="318" spans="1:23" s="488" customFormat="1" x14ac:dyDescent="0.25">
      <c r="A318" s="613">
        <v>45839</v>
      </c>
      <c r="B318" s="618"/>
      <c r="C318" s="616">
        <v>136.53</v>
      </c>
      <c r="D318" s="615">
        <v>144.97</v>
      </c>
      <c r="E318" s="615">
        <v>41.75</v>
      </c>
      <c r="F318" s="615">
        <v>65.89</v>
      </c>
      <c r="G318" s="615">
        <v>18.93</v>
      </c>
      <c r="H318" s="615">
        <v>408.06999999999994</v>
      </c>
      <c r="I318" s="614">
        <v>1.9548632049822843</v>
      </c>
      <c r="J318" s="614">
        <v>2.0449751436318846</v>
      </c>
      <c r="K318" s="614">
        <v>2.6489096505998275</v>
      </c>
      <c r="L318" s="617">
        <v>3.2198838379456931</v>
      </c>
      <c r="N318" s="458"/>
      <c r="O318" s="458"/>
      <c r="P318" s="458"/>
      <c r="Q318" s="458"/>
      <c r="R318" s="458"/>
      <c r="S318" s="458"/>
      <c r="T318" s="458"/>
      <c r="U318" s="458"/>
      <c r="V318" s="458"/>
      <c r="W318" s="458"/>
    </row>
    <row r="319" spans="1:23" s="488" customFormat="1" x14ac:dyDescent="0.25">
      <c r="A319" s="613">
        <v>45870</v>
      </c>
      <c r="B319" s="619"/>
      <c r="C319" s="616">
        <v>193.24</v>
      </c>
      <c r="D319" s="615">
        <v>154.06</v>
      </c>
      <c r="E319" s="615">
        <v>62</v>
      </c>
      <c r="F319" s="615">
        <v>188.75</v>
      </c>
      <c r="G319" s="615">
        <v>31.5</v>
      </c>
      <c r="H319" s="615">
        <v>629.55000000000007</v>
      </c>
      <c r="I319" s="614">
        <v>2.2991444141768969</v>
      </c>
      <c r="J319" s="614">
        <v>2.2755695754965832</v>
      </c>
      <c r="K319" s="614">
        <v>2.7131382559520034</v>
      </c>
      <c r="L319" s="617">
        <v>3.2172365311494708</v>
      </c>
      <c r="N319" s="458"/>
      <c r="O319" s="458"/>
      <c r="P319" s="458"/>
      <c r="Q319" s="458"/>
      <c r="R319" s="458"/>
      <c r="S319" s="458"/>
      <c r="T319" s="458"/>
      <c r="U319" s="458"/>
      <c r="V319" s="458"/>
      <c r="W319" s="458"/>
    </row>
    <row r="320" spans="1:23" s="488" customFormat="1" x14ac:dyDescent="0.25">
      <c r="A320" s="613">
        <v>45901</v>
      </c>
      <c r="B320" s="619"/>
      <c r="C320" s="616">
        <v>176</v>
      </c>
      <c r="D320" s="615">
        <v>177.63</v>
      </c>
      <c r="E320" s="615">
        <v>46.25</v>
      </c>
      <c r="F320" s="615">
        <v>83</v>
      </c>
      <c r="G320" s="615">
        <v>42.4</v>
      </c>
      <c r="H320" s="615">
        <v>525.28</v>
      </c>
      <c r="I320" s="614">
        <v>2.3712431300930836</v>
      </c>
      <c r="J320" s="614">
        <v>2.3854777370585092</v>
      </c>
      <c r="K320" s="614">
        <v>2.703624106581958</v>
      </c>
      <c r="L320" s="617">
        <v>3.1754721819975735</v>
      </c>
      <c r="N320" s="458"/>
      <c r="O320" s="458"/>
      <c r="P320" s="458"/>
      <c r="Q320" s="458"/>
      <c r="R320" s="458"/>
      <c r="S320" s="458"/>
      <c r="T320" s="458"/>
      <c r="U320" s="458"/>
      <c r="V320" s="458"/>
      <c r="W320" s="458"/>
    </row>
    <row r="321" spans="1:26" s="488" customFormat="1" x14ac:dyDescent="0.25">
      <c r="A321" s="613">
        <v>45931</v>
      </c>
      <c r="B321" s="620"/>
      <c r="C321" s="621">
        <v>208.43</v>
      </c>
      <c r="D321" s="608">
        <v>255.73000000000002</v>
      </c>
      <c r="E321" s="608">
        <v>77.150000000000006</v>
      </c>
      <c r="F321" s="608">
        <v>21.279999999999998</v>
      </c>
      <c r="G321" s="608">
        <v>18.5</v>
      </c>
      <c r="H321" s="608">
        <v>581.09</v>
      </c>
      <c r="I321" s="614">
        <v>2.7649670960300514</v>
      </c>
      <c r="J321" s="614">
        <v>2.5684875005305465</v>
      </c>
      <c r="K321" s="614">
        <v>2.8638466745583422</v>
      </c>
      <c r="L321" s="617">
        <v>3.1657415336070045</v>
      </c>
      <c r="N321" s="458"/>
      <c r="O321" s="458"/>
      <c r="P321" s="458"/>
      <c r="Q321" s="458"/>
      <c r="R321" s="458"/>
      <c r="S321" s="458"/>
      <c r="T321" s="458"/>
      <c r="U321" s="458"/>
      <c r="V321" s="458"/>
      <c r="W321" s="458"/>
    </row>
    <row r="322" spans="1:26" s="488" customFormat="1" x14ac:dyDescent="0.25">
      <c r="A322" s="613">
        <v>45962</v>
      </c>
      <c r="B322" s="620"/>
      <c r="C322" s="621">
        <v>207.85</v>
      </c>
      <c r="D322" s="608">
        <v>152.97999999999999</v>
      </c>
      <c r="E322" s="608">
        <v>78.150000000000006</v>
      </c>
      <c r="F322" s="608">
        <v>44.36</v>
      </c>
      <c r="G322" s="608">
        <v>52.65</v>
      </c>
      <c r="H322" s="608">
        <v>535.99</v>
      </c>
      <c r="I322" s="614">
        <v>3.2511306980217221</v>
      </c>
      <c r="J322" s="614">
        <v>2.825549022621237</v>
      </c>
      <c r="K322" s="614">
        <v>3.0166210756908129</v>
      </c>
      <c r="L322" s="617">
        <v>3.2437467395810788</v>
      </c>
      <c r="N322" s="458"/>
      <c r="O322" s="458"/>
      <c r="P322" s="458"/>
      <c r="Q322" s="458"/>
      <c r="R322" s="458"/>
      <c r="S322" s="458"/>
      <c r="T322" s="458"/>
      <c r="U322" s="458"/>
      <c r="V322" s="458"/>
      <c r="W322" s="458"/>
    </row>
    <row r="323" spans="1:26" s="488" customFormat="1" x14ac:dyDescent="0.25">
      <c r="A323" s="613">
        <v>45992</v>
      </c>
      <c r="B323" s="620"/>
      <c r="C323" s="621">
        <v>142.75</v>
      </c>
      <c r="D323" s="608">
        <v>184.5</v>
      </c>
      <c r="E323" s="608">
        <v>43.5</v>
      </c>
      <c r="F323" s="608">
        <v>9.5</v>
      </c>
      <c r="G323" s="608">
        <v>17.5</v>
      </c>
      <c r="H323" s="608">
        <v>397.75</v>
      </c>
      <c r="I323" s="614">
        <v>3.8212970763197696</v>
      </c>
      <c r="J323" s="614">
        <v>2.9240657412478428</v>
      </c>
      <c r="K323" s="614">
        <v>3.2457340212921095</v>
      </c>
      <c r="L323" s="617">
        <v>3.4003425030636936</v>
      </c>
      <c r="N323" s="458"/>
      <c r="O323" s="458"/>
      <c r="P323" s="458"/>
      <c r="Q323" s="458"/>
      <c r="R323" s="458"/>
      <c r="S323" s="458"/>
      <c r="T323" s="458"/>
      <c r="U323" s="458"/>
      <c r="V323" s="458"/>
      <c r="W323" s="458"/>
    </row>
    <row r="324" spans="1:26" s="488" customFormat="1" x14ac:dyDescent="0.25">
      <c r="A324" s="622" t="s">
        <v>905</v>
      </c>
      <c r="B324" s="623"/>
      <c r="C324" s="624">
        <v>117.72</v>
      </c>
      <c r="D324" s="609">
        <v>157.38</v>
      </c>
      <c r="E324" s="609">
        <v>64</v>
      </c>
      <c r="F324" s="609">
        <v>56.25</v>
      </c>
      <c r="G324" s="609">
        <v>31</v>
      </c>
      <c r="H324" s="609">
        <v>426.35</v>
      </c>
      <c r="I324" s="601">
        <v>3.5778413874476098</v>
      </c>
      <c r="J324" s="601">
        <v>3.6003309037237199</v>
      </c>
      <c r="K324" s="601">
        <v>3.3732853175418547</v>
      </c>
      <c r="L324" s="625">
        <v>3.9149259448122988</v>
      </c>
      <c r="N324" s="458"/>
      <c r="O324" s="458"/>
      <c r="P324" s="458"/>
      <c r="Q324" s="458"/>
      <c r="R324" s="458"/>
      <c r="S324" s="458"/>
      <c r="T324" s="458"/>
      <c r="U324" s="458"/>
      <c r="V324" s="458"/>
      <c r="W324" s="458"/>
    </row>
    <row r="325" spans="1:26" s="488" customFormat="1" x14ac:dyDescent="0.25">
      <c r="A325" s="622" t="s">
        <v>906</v>
      </c>
      <c r="B325" s="623"/>
      <c r="C325" s="624">
        <v>197.45</v>
      </c>
      <c r="D325" s="609">
        <v>201.8</v>
      </c>
      <c r="E325" s="609">
        <v>45.18</v>
      </c>
      <c r="F325" s="609">
        <v>184.22</v>
      </c>
      <c r="G325" s="609">
        <v>16.2</v>
      </c>
      <c r="H325" s="609">
        <v>644.85</v>
      </c>
      <c r="I325" s="601">
        <v>3.291844269710364</v>
      </c>
      <c r="J325" s="601">
        <v>3.337598737255004</v>
      </c>
      <c r="K325" s="601">
        <v>3.2397871097475837</v>
      </c>
      <c r="L325" s="625">
        <v>3.905376104233381</v>
      </c>
      <c r="N325" s="458"/>
      <c r="O325" s="458"/>
      <c r="P325" s="458"/>
      <c r="Q325" s="458"/>
      <c r="R325" s="458"/>
      <c r="S325" s="458"/>
      <c r="T325" s="458"/>
      <c r="U325" s="458"/>
      <c r="V325" s="458"/>
      <c r="W325" s="458"/>
    </row>
    <row r="326" spans="1:26" s="488" customFormat="1" x14ac:dyDescent="0.25">
      <c r="A326" s="622" t="s">
        <v>907</v>
      </c>
      <c r="B326" s="623"/>
      <c r="C326" s="624">
        <v>346.13</v>
      </c>
      <c r="D326" s="609">
        <v>137.65</v>
      </c>
      <c r="E326" s="609">
        <v>48.73</v>
      </c>
      <c r="F326" s="609">
        <v>34.699999999999996</v>
      </c>
      <c r="G326" s="609">
        <v>73</v>
      </c>
      <c r="H326" s="609">
        <v>640.20999999999992</v>
      </c>
      <c r="I326" s="601">
        <v>3.7698635276726939</v>
      </c>
      <c r="J326" s="601">
        <v>2.346654781489395</v>
      </c>
      <c r="K326" s="601">
        <v>3.1771980042994281</v>
      </c>
      <c r="L326" s="625">
        <v>3.9022178784898038</v>
      </c>
      <c r="N326" s="458"/>
      <c r="O326" s="458"/>
      <c r="P326" s="458"/>
      <c r="Q326" s="458"/>
      <c r="R326" s="458"/>
      <c r="S326" s="458"/>
      <c r="T326" s="458"/>
      <c r="U326" s="458"/>
      <c r="V326" s="458"/>
      <c r="W326" s="458"/>
    </row>
    <row r="327" spans="1:26" s="488" customFormat="1" x14ac:dyDescent="0.25">
      <c r="A327" s="622" t="s">
        <v>908</v>
      </c>
      <c r="B327" s="623"/>
      <c r="C327" s="624">
        <v>323.5</v>
      </c>
      <c r="D327" s="609">
        <v>122.83999999999999</v>
      </c>
      <c r="E327" s="609">
        <v>8.93</v>
      </c>
      <c r="F327" s="609">
        <v>23.35</v>
      </c>
      <c r="G327" s="609">
        <v>21</v>
      </c>
      <c r="H327" s="609">
        <v>499.62000000000006</v>
      </c>
      <c r="I327" s="601">
        <v>4.4965109962279319</v>
      </c>
      <c r="J327" s="601">
        <v>3.28394359693909</v>
      </c>
      <c r="K327" s="601">
        <v>3.2513891377901798</v>
      </c>
      <c r="L327" s="625">
        <v>4.3876261300372938</v>
      </c>
      <c r="N327" s="458"/>
      <c r="O327" s="458"/>
      <c r="P327" s="458"/>
      <c r="Q327" s="458"/>
      <c r="R327" s="458"/>
      <c r="S327" s="458"/>
      <c r="T327" s="458"/>
      <c r="U327" s="458"/>
      <c r="V327" s="458"/>
      <c r="W327" s="458"/>
    </row>
    <row r="328" spans="1:26" s="488" customFormat="1" x14ac:dyDescent="0.25">
      <c r="A328" s="626"/>
      <c r="B328" s="627"/>
      <c r="C328" s="628"/>
      <c r="D328" s="629"/>
      <c r="E328" s="629"/>
      <c r="F328" s="629"/>
      <c r="G328" s="629"/>
      <c r="H328" s="629"/>
      <c r="I328" s="630"/>
      <c r="J328" s="630"/>
      <c r="K328" s="630"/>
      <c r="L328" s="631"/>
      <c r="N328" s="458"/>
      <c r="O328" s="458"/>
      <c r="P328" s="458"/>
      <c r="Q328" s="458"/>
      <c r="R328" s="458"/>
      <c r="S328" s="458"/>
      <c r="T328" s="458"/>
      <c r="U328" s="458"/>
      <c r="V328" s="458"/>
      <c r="W328" s="458"/>
    </row>
    <row r="329" spans="1:26" x14ac:dyDescent="0.25">
      <c r="L329" s="594" t="s">
        <v>827</v>
      </c>
      <c r="Y329" s="632"/>
      <c r="Z329" s="632"/>
    </row>
  </sheetData>
  <mergeCells count="6">
    <mergeCell ref="A4:L4"/>
    <mergeCell ref="A6:A7"/>
    <mergeCell ref="B6:B7"/>
    <mergeCell ref="C6:H6"/>
    <mergeCell ref="I6:J6"/>
    <mergeCell ref="K6:L6"/>
  </mergeCells>
  <hyperlinks>
    <hyperlink ref="L2" location="Contents!A1" display="Back to Contents" xr:uid="{EECAD155-F619-4B69-95F7-4766A645E55C}"/>
  </hyperlinks>
  <pageMargins left="0.7" right="0.7" top="0.75" bottom="0.75" header="0.3" footer="0.3"/>
  <pageSetup paperSize="9" scale="75" orientation="portrait" r:id="rId1"/>
  <headerFooter>
    <oddHeader>&amp;L&amp;"Calibri"&amp;10&amp;KA80000 [Confidential]&amp;1#_x000D_&amp;C&amp;G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D7A1A-2E41-4FE5-B2D4-32801961FEAD}">
  <dimension ref="A1:R119"/>
  <sheetViews>
    <sheetView zoomScaleNormal="100" workbookViewId="0">
      <selection activeCell="O2" sqref="O2"/>
    </sheetView>
  </sheetViews>
  <sheetFormatPr defaultRowHeight="12.75" x14ac:dyDescent="0.2"/>
  <cols>
    <col min="1" max="1" width="15.42578125" style="19" customWidth="1"/>
    <col min="2" max="2" width="10.140625" style="19" customWidth="1"/>
    <col min="3" max="3" width="12.7109375" style="19" customWidth="1"/>
    <col min="4" max="4" width="11.7109375" style="19" customWidth="1"/>
    <col min="5" max="5" width="11.42578125" style="19" customWidth="1"/>
    <col min="6" max="6" width="13.140625" style="19" customWidth="1"/>
    <col min="7" max="7" width="11.140625" style="19" customWidth="1"/>
    <col min="8" max="8" width="12.140625" style="19" customWidth="1"/>
    <col min="9" max="9" width="12.28515625" style="19" customWidth="1"/>
    <col min="10" max="10" width="11.85546875" style="19" customWidth="1"/>
    <col min="11" max="11" width="12.42578125" style="19" customWidth="1"/>
    <col min="12" max="12" width="10.7109375" style="19" customWidth="1"/>
    <col min="13" max="13" width="12.5703125" style="19" customWidth="1"/>
    <col min="14" max="14" width="13.28515625" style="19" customWidth="1"/>
    <col min="15" max="15" width="13.140625" style="19" customWidth="1"/>
    <col min="16" max="16384" width="9.140625" style="19"/>
  </cols>
  <sheetData>
    <row r="1" spans="1:15" s="16" customFormat="1" ht="15" customHeight="1" x14ac:dyDescent="0.25">
      <c r="A1" s="13" t="s">
        <v>29</v>
      </c>
      <c r="B1" s="14"/>
      <c r="C1" s="14"/>
      <c r="D1" s="14"/>
      <c r="E1" s="14"/>
      <c r="F1" s="14"/>
      <c r="G1" s="14"/>
      <c r="H1" s="14"/>
      <c r="I1" s="14"/>
      <c r="J1" s="14"/>
      <c r="K1" s="14"/>
      <c r="L1" s="14"/>
      <c r="O1" s="15" t="s">
        <v>277</v>
      </c>
    </row>
    <row r="2" spans="1:15" s="16" customFormat="1" ht="15" customHeight="1" x14ac:dyDescent="0.25">
      <c r="A2" s="54" t="s">
        <v>286</v>
      </c>
      <c r="B2" s="14"/>
      <c r="C2" s="14"/>
      <c r="D2" s="14"/>
      <c r="E2" s="14"/>
      <c r="F2" s="14"/>
      <c r="G2" s="14"/>
      <c r="H2" s="14"/>
      <c r="I2" s="14"/>
      <c r="J2" s="14"/>
      <c r="K2" s="14"/>
      <c r="L2" s="14"/>
      <c r="O2" s="17" t="s">
        <v>10</v>
      </c>
    </row>
    <row r="3" spans="1:15" s="16" customFormat="1" ht="13.5" customHeight="1" x14ac:dyDescent="0.25">
      <c r="A3" s="14"/>
      <c r="B3" s="14"/>
      <c r="C3" s="14"/>
      <c r="D3" s="14"/>
      <c r="E3" s="14"/>
      <c r="F3" s="14"/>
      <c r="G3" s="14"/>
      <c r="H3" s="14"/>
      <c r="I3" s="14"/>
      <c r="J3" s="14"/>
      <c r="K3" s="14"/>
      <c r="L3" s="14"/>
      <c r="M3" s="17"/>
      <c r="N3" s="17"/>
      <c r="O3" s="17"/>
    </row>
    <row r="4" spans="1:15" s="16" customFormat="1" ht="18.75" customHeight="1" x14ac:dyDescent="0.3">
      <c r="A4" s="217" t="s">
        <v>233</v>
      </c>
      <c r="B4" s="217"/>
      <c r="C4" s="217"/>
      <c r="D4" s="217"/>
      <c r="E4" s="217"/>
      <c r="F4" s="217"/>
      <c r="G4" s="217"/>
      <c r="H4" s="217"/>
      <c r="I4" s="217"/>
      <c r="J4" s="217"/>
      <c r="K4" s="217"/>
      <c r="L4" s="217"/>
      <c r="M4" s="217"/>
      <c r="N4" s="217"/>
      <c r="O4" s="137" t="s">
        <v>124</v>
      </c>
    </row>
    <row r="5" spans="1:15" ht="15" customHeight="1" x14ac:dyDescent="0.2">
      <c r="A5" s="215" t="s">
        <v>3</v>
      </c>
      <c r="B5" s="214" t="s">
        <v>238</v>
      </c>
      <c r="C5" s="214"/>
      <c r="D5" s="214"/>
      <c r="E5" s="214"/>
      <c r="F5" s="214"/>
      <c r="G5" s="138" t="s">
        <v>323</v>
      </c>
      <c r="H5" s="139"/>
      <c r="I5" s="139"/>
      <c r="J5" s="139"/>
      <c r="K5" s="139"/>
      <c r="L5" s="140"/>
      <c r="M5" s="214" t="s">
        <v>105</v>
      </c>
      <c r="N5" s="214" t="s">
        <v>324</v>
      </c>
      <c r="O5" s="214" t="s">
        <v>47</v>
      </c>
    </row>
    <row r="6" spans="1:15" ht="75" customHeight="1" x14ac:dyDescent="0.2">
      <c r="A6" s="216"/>
      <c r="B6" s="141" t="s">
        <v>240</v>
      </c>
      <c r="C6" s="118" t="s">
        <v>74</v>
      </c>
      <c r="D6" s="118" t="s">
        <v>325</v>
      </c>
      <c r="E6" s="142" t="s">
        <v>241</v>
      </c>
      <c r="F6" s="142" t="s">
        <v>181</v>
      </c>
      <c r="G6" s="142" t="s">
        <v>149</v>
      </c>
      <c r="H6" s="141" t="s">
        <v>150</v>
      </c>
      <c r="I6" s="142" t="s">
        <v>242</v>
      </c>
      <c r="J6" s="142" t="s">
        <v>162</v>
      </c>
      <c r="K6" s="141" t="s">
        <v>165</v>
      </c>
      <c r="L6" s="141" t="s">
        <v>181</v>
      </c>
      <c r="M6" s="214"/>
      <c r="N6" s="214"/>
      <c r="O6" s="214"/>
    </row>
    <row r="7" spans="1:15" ht="15" customHeight="1" x14ac:dyDescent="0.2">
      <c r="A7" s="35" t="s">
        <v>48</v>
      </c>
      <c r="B7" s="37">
        <v>4423.0544227374203</v>
      </c>
      <c r="C7" s="37">
        <v>786.08657432540963</v>
      </c>
      <c r="D7" s="37">
        <v>181.47462948624269</v>
      </c>
      <c r="E7" s="37">
        <v>373.56005886030391</v>
      </c>
      <c r="F7" s="37">
        <v>1907.8060407307689</v>
      </c>
      <c r="G7" s="37">
        <v>1240.9463966052967</v>
      </c>
      <c r="H7" s="37">
        <v>30.096950010781409</v>
      </c>
      <c r="I7" s="37">
        <v>345.17164743367141</v>
      </c>
      <c r="J7" s="37">
        <v>333.49387136364533</v>
      </c>
      <c r="K7" s="37">
        <v>134.66904539421958</v>
      </c>
      <c r="L7" s="37">
        <v>251.860980565066</v>
      </c>
      <c r="M7" s="37">
        <v>25.101102182863315</v>
      </c>
      <c r="N7" s="37">
        <v>14.105740162396074</v>
      </c>
      <c r="O7" s="37">
        <v>10047.427459858085</v>
      </c>
    </row>
    <row r="8" spans="1:15" ht="15" customHeight="1" x14ac:dyDescent="0.2">
      <c r="A8" s="34" t="s">
        <v>49</v>
      </c>
      <c r="B8" s="22">
        <v>5435.1067716486805</v>
      </c>
      <c r="C8" s="22">
        <v>1050.4436175546739</v>
      </c>
      <c r="D8" s="22">
        <v>276.67594624490971</v>
      </c>
      <c r="E8" s="22">
        <v>506.38322802157757</v>
      </c>
      <c r="F8" s="22">
        <v>2433.4024161424127</v>
      </c>
      <c r="G8" s="22">
        <v>1324.3740991008951</v>
      </c>
      <c r="H8" s="22">
        <v>42.152253604538274</v>
      </c>
      <c r="I8" s="22">
        <v>425.24811495834984</v>
      </c>
      <c r="J8" s="22">
        <v>454.76040034428104</v>
      </c>
      <c r="K8" s="22">
        <v>148.76448158043377</v>
      </c>
      <c r="L8" s="22">
        <v>334.18993191423294</v>
      </c>
      <c r="M8" s="22">
        <v>44.500523868276275</v>
      </c>
      <c r="N8" s="22">
        <v>22.577778800503843</v>
      </c>
      <c r="O8" s="22">
        <v>12498.579563783765</v>
      </c>
    </row>
    <row r="9" spans="1:15" ht="15" customHeight="1" x14ac:dyDescent="0.2">
      <c r="A9" s="35" t="s">
        <v>50</v>
      </c>
      <c r="B9" s="37">
        <v>5951.9981845717602</v>
      </c>
      <c r="C9" s="37">
        <v>977.02933555024094</v>
      </c>
      <c r="D9" s="37">
        <v>450.55249392994995</v>
      </c>
      <c r="E9" s="37">
        <v>568.02910047860769</v>
      </c>
      <c r="F9" s="37">
        <v>2517.6571327176962</v>
      </c>
      <c r="G9" s="37">
        <v>1258.8006462578555</v>
      </c>
      <c r="H9" s="37">
        <v>41.374858034723374</v>
      </c>
      <c r="I9" s="37">
        <v>400.28625049740685</v>
      </c>
      <c r="J9" s="37">
        <v>368.72174345940851</v>
      </c>
      <c r="K9" s="37">
        <v>178.79229443191133</v>
      </c>
      <c r="L9" s="37">
        <v>320.04390652820183</v>
      </c>
      <c r="M9" s="37">
        <v>49.977513229390098</v>
      </c>
      <c r="N9" s="37">
        <v>23.17597744475367</v>
      </c>
      <c r="O9" s="37">
        <v>13106.439437131905</v>
      </c>
    </row>
    <row r="10" spans="1:15" ht="15" customHeight="1" x14ac:dyDescent="0.2">
      <c r="A10" s="34" t="s">
        <v>51</v>
      </c>
      <c r="B10" s="22">
        <v>4878.9314838679693</v>
      </c>
      <c r="C10" s="22">
        <v>902.19194345972926</v>
      </c>
      <c r="D10" s="22">
        <v>499.96029416752367</v>
      </c>
      <c r="E10" s="22">
        <v>539.3745129196609</v>
      </c>
      <c r="F10" s="22">
        <v>2457.275563389519</v>
      </c>
      <c r="G10" s="22">
        <v>1309.8910797216831</v>
      </c>
      <c r="H10" s="22">
        <v>28.035311729177803</v>
      </c>
      <c r="I10" s="22">
        <v>336.78059637607839</v>
      </c>
      <c r="J10" s="22">
        <v>392.85440302496357</v>
      </c>
      <c r="K10" s="22">
        <v>180.94053222058582</v>
      </c>
      <c r="L10" s="22">
        <v>318.02997442335283</v>
      </c>
      <c r="M10" s="22">
        <v>38.450641404623227</v>
      </c>
      <c r="N10" s="22">
        <v>27.993586039585647</v>
      </c>
      <c r="O10" s="22">
        <v>11910.709922744454</v>
      </c>
    </row>
    <row r="11" spans="1:15" ht="15" customHeight="1" x14ac:dyDescent="0.2">
      <c r="A11" s="35" t="s">
        <v>338</v>
      </c>
      <c r="B11" s="37">
        <v>5061.022619025448</v>
      </c>
      <c r="C11" s="37">
        <v>975.5723747988543</v>
      </c>
      <c r="D11" s="37">
        <v>381.90721201093362</v>
      </c>
      <c r="E11" s="37">
        <v>1063.4503506865826</v>
      </c>
      <c r="F11" s="37">
        <v>2464.9230265829756</v>
      </c>
      <c r="G11" s="37">
        <v>1435.863966146195</v>
      </c>
      <c r="H11" s="37">
        <v>25.965327519699919</v>
      </c>
      <c r="I11" s="37">
        <v>416.49120815063816</v>
      </c>
      <c r="J11" s="37">
        <v>454.67056272873077</v>
      </c>
      <c r="K11" s="37">
        <v>154.20941418825282</v>
      </c>
      <c r="L11" s="37">
        <v>287.25621052846577</v>
      </c>
      <c r="M11" s="37">
        <v>24.528059861875718</v>
      </c>
      <c r="N11" s="37">
        <v>26.132872685710126</v>
      </c>
      <c r="O11" s="37">
        <v>12771.993204914361</v>
      </c>
    </row>
    <row r="12" spans="1:15" ht="15" customHeight="1" x14ac:dyDescent="0.2">
      <c r="A12" s="34" t="s">
        <v>359</v>
      </c>
      <c r="B12" s="22">
        <v>5313.6608717282643</v>
      </c>
      <c r="C12" s="22">
        <v>914.61810463498318</v>
      </c>
      <c r="D12" s="22">
        <v>388.0227770175623</v>
      </c>
      <c r="E12" s="22">
        <v>971.00497585943504</v>
      </c>
      <c r="F12" s="22">
        <v>2873.5160231883829</v>
      </c>
      <c r="G12" s="22">
        <v>1507.1843169283352</v>
      </c>
      <c r="H12" s="22">
        <v>31.201179290811169</v>
      </c>
      <c r="I12" s="22">
        <v>573.54156981361371</v>
      </c>
      <c r="J12" s="22">
        <v>443.06677118072975</v>
      </c>
      <c r="K12" s="22">
        <v>215.62816856466213</v>
      </c>
      <c r="L12" s="22">
        <v>301.37217528014833</v>
      </c>
      <c r="M12" s="22">
        <v>24.177145757504324</v>
      </c>
      <c r="N12" s="22">
        <v>24.380448072053863</v>
      </c>
      <c r="O12" s="22">
        <v>13581.374527316486</v>
      </c>
    </row>
    <row r="13" spans="1:15" ht="15" customHeight="1" x14ac:dyDescent="0.2">
      <c r="A13" s="8"/>
      <c r="B13" s="22"/>
      <c r="C13" s="22"/>
      <c r="D13" s="22"/>
      <c r="E13" s="22"/>
      <c r="F13" s="22"/>
      <c r="G13" s="22"/>
      <c r="H13" s="22"/>
      <c r="I13" s="22"/>
      <c r="J13" s="22"/>
      <c r="K13" s="22"/>
      <c r="L13" s="22"/>
      <c r="M13" s="22"/>
      <c r="N13" s="22"/>
      <c r="O13" s="22"/>
    </row>
    <row r="14" spans="1:15" ht="15" customHeight="1" x14ac:dyDescent="0.2">
      <c r="A14" s="9" t="s">
        <v>13</v>
      </c>
      <c r="B14" s="37">
        <v>1254.8763519462664</v>
      </c>
      <c r="C14" s="37">
        <v>196.15483109284997</v>
      </c>
      <c r="D14" s="37">
        <v>54.583819160481319</v>
      </c>
      <c r="E14" s="37">
        <v>177.65547476776436</v>
      </c>
      <c r="F14" s="37">
        <v>450.78216084460831</v>
      </c>
      <c r="G14" s="37">
        <v>270.06233513890595</v>
      </c>
      <c r="H14" s="37">
        <v>7.1903380971427495</v>
      </c>
      <c r="I14" s="37">
        <v>70.425371595683785</v>
      </c>
      <c r="J14" s="37">
        <v>51.044887467159214</v>
      </c>
      <c r="K14" s="37">
        <v>39.568122585597855</v>
      </c>
      <c r="L14" s="37">
        <v>68.216033936659002</v>
      </c>
      <c r="M14" s="37">
        <v>4.8915808367962432</v>
      </c>
      <c r="N14" s="37">
        <v>4.169254783182418</v>
      </c>
      <c r="O14" s="37">
        <v>2649.6205622530974</v>
      </c>
    </row>
    <row r="15" spans="1:15" ht="15" customHeight="1" x14ac:dyDescent="0.2">
      <c r="A15" s="9" t="s">
        <v>14</v>
      </c>
      <c r="B15" s="37">
        <v>689.01820244176099</v>
      </c>
      <c r="C15" s="37">
        <v>139.55594570614977</v>
      </c>
      <c r="D15" s="37">
        <v>18.162646717032551</v>
      </c>
      <c r="E15" s="37">
        <v>41.825108083065871</v>
      </c>
      <c r="F15" s="37">
        <v>334.48946181842371</v>
      </c>
      <c r="G15" s="37">
        <v>301.59596624293818</v>
      </c>
      <c r="H15" s="37">
        <v>6.2703128331193403</v>
      </c>
      <c r="I15" s="37">
        <v>76.373411727908717</v>
      </c>
      <c r="J15" s="37">
        <v>62.803158940464769</v>
      </c>
      <c r="K15" s="37">
        <v>31.134245418326316</v>
      </c>
      <c r="L15" s="37">
        <v>54.273268913470254</v>
      </c>
      <c r="M15" s="37">
        <v>4.8387481326901067</v>
      </c>
      <c r="N15" s="37">
        <v>2.7924404360943318</v>
      </c>
      <c r="O15" s="37">
        <v>1763.1329174114449</v>
      </c>
    </row>
    <row r="16" spans="1:15" ht="15" customHeight="1" x14ac:dyDescent="0.2">
      <c r="A16" s="9" t="s">
        <v>15</v>
      </c>
      <c r="B16" s="37">
        <v>1342.9131659374325</v>
      </c>
      <c r="C16" s="37">
        <v>231.18350126198322</v>
      </c>
      <c r="D16" s="37">
        <v>50.1700475207669</v>
      </c>
      <c r="E16" s="37">
        <v>77.284596661048212</v>
      </c>
      <c r="F16" s="37">
        <v>621.34236896293567</v>
      </c>
      <c r="G16" s="37">
        <v>347.89861541077767</v>
      </c>
      <c r="H16" s="37">
        <v>6.4587938627326515</v>
      </c>
      <c r="I16" s="37">
        <v>110.49814804113223</v>
      </c>
      <c r="J16" s="37">
        <v>119.2458322099165</v>
      </c>
      <c r="K16" s="37">
        <v>40.351912070249981</v>
      </c>
      <c r="L16" s="37">
        <v>75.047811282059456</v>
      </c>
      <c r="M16" s="37">
        <v>6.2021296216119026</v>
      </c>
      <c r="N16" s="37">
        <v>3.6948975753789455</v>
      </c>
      <c r="O16" s="37">
        <v>3032.291820418026</v>
      </c>
    </row>
    <row r="17" spans="1:18" ht="15" customHeight="1" x14ac:dyDescent="0.2">
      <c r="A17" s="9" t="s">
        <v>16</v>
      </c>
      <c r="B17" s="37">
        <v>1136.2467024119603</v>
      </c>
      <c r="C17" s="37">
        <v>219.19229626442672</v>
      </c>
      <c r="D17" s="37">
        <v>58.55811608796192</v>
      </c>
      <c r="E17" s="37">
        <v>76.794879348425468</v>
      </c>
      <c r="F17" s="37">
        <v>501.1920491048013</v>
      </c>
      <c r="G17" s="37">
        <v>321.38947981267489</v>
      </c>
      <c r="H17" s="37">
        <v>10.177505217786667</v>
      </c>
      <c r="I17" s="37">
        <v>87.874716068946668</v>
      </c>
      <c r="J17" s="37">
        <v>100.3999927461048</v>
      </c>
      <c r="K17" s="37">
        <v>23.614765320045439</v>
      </c>
      <c r="L17" s="37">
        <v>54.323866432877288</v>
      </c>
      <c r="M17" s="37">
        <v>9.1686435917650631</v>
      </c>
      <c r="N17" s="37">
        <v>3.4491473677403781</v>
      </c>
      <c r="O17" s="37">
        <v>2602.3821597755168</v>
      </c>
    </row>
    <row r="18" spans="1:18" s="143" customFormat="1" ht="15" customHeight="1" x14ac:dyDescent="0.2">
      <c r="A18" s="8" t="s">
        <v>17</v>
      </c>
      <c r="B18" s="22">
        <v>1333.5250409011621</v>
      </c>
      <c r="C18" s="22">
        <v>256.33523026462512</v>
      </c>
      <c r="D18" s="22">
        <v>70.770833095824571</v>
      </c>
      <c r="E18" s="22">
        <v>85.83291981835734</v>
      </c>
      <c r="F18" s="22">
        <v>555.89173334921452</v>
      </c>
      <c r="G18" s="22">
        <v>338.12763101029952</v>
      </c>
      <c r="H18" s="22">
        <v>12.202604039313661</v>
      </c>
      <c r="I18" s="22">
        <v>96.293286484202213</v>
      </c>
      <c r="J18" s="22">
        <v>113.78157428401919</v>
      </c>
      <c r="K18" s="22">
        <v>31.871716683830662</v>
      </c>
      <c r="L18" s="22">
        <v>71.4898552432266</v>
      </c>
      <c r="M18" s="22">
        <v>11.784869057328155</v>
      </c>
      <c r="N18" s="22">
        <v>4.2534133908254539</v>
      </c>
      <c r="O18" s="22">
        <v>2982.160707622229</v>
      </c>
    </row>
    <row r="19" spans="1:18" s="143" customFormat="1" ht="15" customHeight="1" x14ac:dyDescent="0.2">
      <c r="A19" s="8" t="s">
        <v>18</v>
      </c>
      <c r="B19" s="22">
        <v>1153.8836270869808</v>
      </c>
      <c r="C19" s="22">
        <v>243.34014967838465</v>
      </c>
      <c r="D19" s="22">
        <v>61.381753720885477</v>
      </c>
      <c r="E19" s="22">
        <v>110.84597113296289</v>
      </c>
      <c r="F19" s="22">
        <v>535.92691690893707</v>
      </c>
      <c r="G19" s="22">
        <v>312.40362650544262</v>
      </c>
      <c r="H19" s="22">
        <v>8.0812529051632787</v>
      </c>
      <c r="I19" s="22">
        <v>99.947953660192141</v>
      </c>
      <c r="J19" s="22">
        <v>83.051918285150208</v>
      </c>
      <c r="K19" s="22">
        <v>28.494313091747365</v>
      </c>
      <c r="L19" s="22">
        <v>63.195505825924833</v>
      </c>
      <c r="M19" s="22">
        <v>13.08308627633669</v>
      </c>
      <c r="N19" s="22">
        <v>3.2661065530025555</v>
      </c>
      <c r="O19" s="22">
        <v>2716.9021816311106</v>
      </c>
    </row>
    <row r="20" spans="1:18" s="143" customFormat="1" ht="15" customHeight="1" x14ac:dyDescent="0.2">
      <c r="A20" s="8" t="s">
        <v>19</v>
      </c>
      <c r="B20" s="22">
        <v>1405.8777094290524</v>
      </c>
      <c r="C20" s="22">
        <v>272.89657756863375</v>
      </c>
      <c r="D20" s="22">
        <v>67.390090641594412</v>
      </c>
      <c r="E20" s="22">
        <v>151.95016708489445</v>
      </c>
      <c r="F20" s="22">
        <v>597.25734848911145</v>
      </c>
      <c r="G20" s="22">
        <v>336.03359975557635</v>
      </c>
      <c r="H20" s="22">
        <v>12.171506430735137</v>
      </c>
      <c r="I20" s="22">
        <v>116.47322163540568</v>
      </c>
      <c r="J20" s="22">
        <v>122.79520787067182</v>
      </c>
      <c r="K20" s="22">
        <v>44.07171404955298</v>
      </c>
      <c r="L20" s="22">
        <v>96.172826569379367</v>
      </c>
      <c r="M20" s="22">
        <v>8.9155626602845679</v>
      </c>
      <c r="N20" s="22">
        <v>7.420296476704233</v>
      </c>
      <c r="O20" s="22">
        <v>3239.4258286615968</v>
      </c>
    </row>
    <row r="21" spans="1:18" s="143" customFormat="1" ht="15" customHeight="1" x14ac:dyDescent="0.2">
      <c r="A21" s="8" t="s">
        <v>20</v>
      </c>
      <c r="B21" s="22">
        <v>1541.8203942314851</v>
      </c>
      <c r="C21" s="22">
        <v>277.87166004303026</v>
      </c>
      <c r="D21" s="22">
        <v>77.133268786605242</v>
      </c>
      <c r="E21" s="22">
        <v>157.75416998536286</v>
      </c>
      <c r="F21" s="22">
        <v>744.32641739514975</v>
      </c>
      <c r="G21" s="22">
        <v>337.80924182957671</v>
      </c>
      <c r="H21" s="22">
        <v>9.6968902293261987</v>
      </c>
      <c r="I21" s="22">
        <v>112.53365317854984</v>
      </c>
      <c r="J21" s="22">
        <v>135.13169990443984</v>
      </c>
      <c r="K21" s="22">
        <v>44.326737755302773</v>
      </c>
      <c r="L21" s="22">
        <v>103.33174427570215</v>
      </c>
      <c r="M21" s="22">
        <v>10.717005874326857</v>
      </c>
      <c r="N21" s="22">
        <v>7.637962379971599</v>
      </c>
      <c r="O21" s="22">
        <v>3560.0908458688291</v>
      </c>
    </row>
    <row r="22" spans="1:18" ht="15" customHeight="1" x14ac:dyDescent="0.2">
      <c r="A22" s="9" t="s">
        <v>21</v>
      </c>
      <c r="B22" s="37">
        <v>1476.9680832042945</v>
      </c>
      <c r="C22" s="37">
        <v>251.665142024023</v>
      </c>
      <c r="D22" s="37">
        <v>98.541968917258288</v>
      </c>
      <c r="E22" s="37">
        <v>179.52160959735599</v>
      </c>
      <c r="F22" s="37">
        <v>626.02634355966643</v>
      </c>
      <c r="G22" s="37">
        <v>286.76862476618913</v>
      </c>
      <c r="H22" s="37">
        <v>14.639646280714103</v>
      </c>
      <c r="I22" s="37">
        <v>104.72578887438372</v>
      </c>
      <c r="J22" s="37">
        <v>85.327828736593474</v>
      </c>
      <c r="K22" s="37">
        <v>33.507025427316165</v>
      </c>
      <c r="L22" s="37">
        <v>80.881463662074083</v>
      </c>
      <c r="M22" s="37">
        <v>10.416403187784343</v>
      </c>
      <c r="N22" s="37">
        <v>5.1834191252540869</v>
      </c>
      <c r="O22" s="37">
        <v>3254.1733473629074</v>
      </c>
    </row>
    <row r="23" spans="1:18" ht="15" customHeight="1" x14ac:dyDescent="0.2">
      <c r="A23" s="9" t="s">
        <v>22</v>
      </c>
      <c r="B23" s="37">
        <v>1500.2888710968386</v>
      </c>
      <c r="C23" s="37">
        <v>241.66320309320662</v>
      </c>
      <c r="D23" s="37">
        <v>101.70940312052225</v>
      </c>
      <c r="E23" s="37">
        <v>165.79237546844155</v>
      </c>
      <c r="F23" s="37">
        <v>626.07129806277794</v>
      </c>
      <c r="G23" s="37">
        <v>290.60984112399086</v>
      </c>
      <c r="H23" s="37">
        <v>8.6526738535987988</v>
      </c>
      <c r="I23" s="37">
        <v>111.08497741092907</v>
      </c>
      <c r="J23" s="37">
        <v>74.258096530639946</v>
      </c>
      <c r="K23" s="37">
        <v>50.619842799653632</v>
      </c>
      <c r="L23" s="37">
        <v>84.9079692608004</v>
      </c>
      <c r="M23" s="37">
        <v>6.6666787869760622</v>
      </c>
      <c r="N23" s="37">
        <v>5.654431878085207</v>
      </c>
      <c r="O23" s="37">
        <v>3267.9796624864607</v>
      </c>
      <c r="R23" s="100"/>
    </row>
    <row r="24" spans="1:18" ht="15" customHeight="1" x14ac:dyDescent="0.2">
      <c r="A24" s="9" t="s">
        <v>23</v>
      </c>
      <c r="B24" s="37">
        <v>1599.9074262136317</v>
      </c>
      <c r="C24" s="37">
        <v>261.79997264484643</v>
      </c>
      <c r="D24" s="37">
        <v>136.28799801326358</v>
      </c>
      <c r="E24" s="37">
        <v>94.554977883340442</v>
      </c>
      <c r="F24" s="37">
        <v>650.66729476396426</v>
      </c>
      <c r="G24" s="37">
        <v>359.74741211503351</v>
      </c>
      <c r="H24" s="37">
        <v>9.45382011053184</v>
      </c>
      <c r="I24" s="37">
        <v>98.177629197585077</v>
      </c>
      <c r="J24" s="37">
        <v>114.47507943646616</v>
      </c>
      <c r="K24" s="37">
        <v>54.796598875467453</v>
      </c>
      <c r="L24" s="37">
        <v>77.119781345476184</v>
      </c>
      <c r="M24" s="37">
        <v>7.0376515304401277</v>
      </c>
      <c r="N24" s="37">
        <v>5.77341583960437</v>
      </c>
      <c r="O24" s="37">
        <v>3469.7990579696511</v>
      </c>
    </row>
    <row r="25" spans="1:18" ht="15" customHeight="1" x14ac:dyDescent="0.2">
      <c r="A25" s="9" t="s">
        <v>24</v>
      </c>
      <c r="B25" s="37">
        <v>1374.8338040569952</v>
      </c>
      <c r="C25" s="37">
        <v>221.90101778816495</v>
      </c>
      <c r="D25" s="37">
        <v>114.01312387890584</v>
      </c>
      <c r="E25" s="37">
        <v>128.16013752946978</v>
      </c>
      <c r="F25" s="37">
        <v>614.89219633128732</v>
      </c>
      <c r="G25" s="37">
        <v>321.67476825264191</v>
      </c>
      <c r="H25" s="37">
        <v>8.6287177898786318</v>
      </c>
      <c r="I25" s="37">
        <v>86.297855014508968</v>
      </c>
      <c r="J25" s="37">
        <v>94.660738755708891</v>
      </c>
      <c r="K25" s="37">
        <v>39.868827329474058</v>
      </c>
      <c r="L25" s="37">
        <v>77.134692259851178</v>
      </c>
      <c r="M25" s="37">
        <v>25.856779724189565</v>
      </c>
      <c r="N25" s="37">
        <v>6.5647106018100061</v>
      </c>
      <c r="O25" s="37">
        <v>3114.4873693128866</v>
      </c>
    </row>
    <row r="26" spans="1:18" s="143" customFormat="1" ht="15" customHeight="1" x14ac:dyDescent="0.2">
      <c r="A26" s="8" t="s">
        <v>25</v>
      </c>
      <c r="B26" s="22">
        <v>1272.9513628972795</v>
      </c>
      <c r="C26" s="22">
        <v>232.84317862746485</v>
      </c>
      <c r="D26" s="22">
        <v>137.68515173559985</v>
      </c>
      <c r="E26" s="22">
        <v>130.17036135473577</v>
      </c>
      <c r="F26" s="22">
        <v>601.03204861921063</v>
      </c>
      <c r="G26" s="22">
        <v>314.27490919206321</v>
      </c>
      <c r="H26" s="22">
        <v>10.794796522409831</v>
      </c>
      <c r="I26" s="22">
        <v>75.760793903530583</v>
      </c>
      <c r="J26" s="22">
        <v>100.64876969113556</v>
      </c>
      <c r="K26" s="22">
        <v>26.107547571323913</v>
      </c>
      <c r="L26" s="22">
        <v>80.626969064794153</v>
      </c>
      <c r="M26" s="22">
        <v>7.7024916238780481</v>
      </c>
      <c r="N26" s="22">
        <v>6.9857232483936667</v>
      </c>
      <c r="O26" s="22">
        <v>2997.5841040518198</v>
      </c>
    </row>
    <row r="27" spans="1:18" s="143" customFormat="1" ht="15" customHeight="1" x14ac:dyDescent="0.2">
      <c r="A27" s="8" t="s">
        <v>26</v>
      </c>
      <c r="B27" s="22">
        <v>1187.6102847730228</v>
      </c>
      <c r="C27" s="22">
        <v>199.75644691672284</v>
      </c>
      <c r="D27" s="22">
        <v>131.14960492764288</v>
      </c>
      <c r="E27" s="22">
        <v>117.03156563138491</v>
      </c>
      <c r="F27" s="22">
        <v>605.80441335795933</v>
      </c>
      <c r="G27" s="22">
        <v>321.24522084270916</v>
      </c>
      <c r="H27" s="22">
        <v>6.3850268652297242</v>
      </c>
      <c r="I27" s="22">
        <v>85.277901273570052</v>
      </c>
      <c r="J27" s="22">
        <v>75.349893428911571</v>
      </c>
      <c r="K27" s="22">
        <v>54.16864880179773</v>
      </c>
      <c r="L27" s="22">
        <v>78.608251084741596</v>
      </c>
      <c r="M27" s="22">
        <v>4.1821546160730669</v>
      </c>
      <c r="N27" s="22">
        <v>6.8727123752618944</v>
      </c>
      <c r="O27" s="22">
        <v>2873.4421248950275</v>
      </c>
    </row>
    <row r="28" spans="1:18" s="143" customFormat="1" ht="15" customHeight="1" x14ac:dyDescent="0.2">
      <c r="A28" s="8" t="s">
        <v>27</v>
      </c>
      <c r="B28" s="22">
        <v>1228.0991444185015</v>
      </c>
      <c r="C28" s="22">
        <v>236.03451608243364</v>
      </c>
      <c r="D28" s="22">
        <v>125.41543818570936</v>
      </c>
      <c r="E28" s="22">
        <v>124.36259121207924</v>
      </c>
      <c r="F28" s="22">
        <v>668.15776299667334</v>
      </c>
      <c r="G28" s="22">
        <v>354.79135466112712</v>
      </c>
      <c r="H28" s="22">
        <v>6.3473468928414327</v>
      </c>
      <c r="I28" s="22">
        <v>95.38218317713077</v>
      </c>
      <c r="J28" s="22">
        <v>122.4722618591961</v>
      </c>
      <c r="K28" s="22">
        <v>63.200110730081306</v>
      </c>
      <c r="L28" s="22">
        <v>73.977116953123115</v>
      </c>
      <c r="M28" s="22">
        <v>6.065736374536236</v>
      </c>
      <c r="N28" s="22">
        <v>6.6856710277817868</v>
      </c>
      <c r="O28" s="22">
        <v>3110.9912345712146</v>
      </c>
      <c r="P28" s="144"/>
    </row>
    <row r="29" spans="1:18" s="143" customFormat="1" ht="15" customHeight="1" x14ac:dyDescent="0.2">
      <c r="A29" s="8" t="s">
        <v>28</v>
      </c>
      <c r="B29" s="22">
        <v>1190.2706917791656</v>
      </c>
      <c r="C29" s="22">
        <v>233.55780183310787</v>
      </c>
      <c r="D29" s="22">
        <v>105.71009931857157</v>
      </c>
      <c r="E29" s="22">
        <v>167.80999472146101</v>
      </c>
      <c r="F29" s="22">
        <v>582.2813384156758</v>
      </c>
      <c r="G29" s="22">
        <v>319.57959502578365</v>
      </c>
      <c r="H29" s="22">
        <v>4.5081414486968159</v>
      </c>
      <c r="I29" s="22">
        <v>80.359718021847016</v>
      </c>
      <c r="J29" s="22">
        <v>94.383478045720324</v>
      </c>
      <c r="K29" s="22">
        <v>37.464225117382881</v>
      </c>
      <c r="L29" s="22">
        <v>84.817637320693947</v>
      </c>
      <c r="M29" s="22">
        <v>20.500258790135877</v>
      </c>
      <c r="N29" s="22">
        <v>7.4494793881483012</v>
      </c>
      <c r="O29" s="22">
        <v>2928.6924592263908</v>
      </c>
    </row>
    <row r="30" spans="1:18" ht="15" customHeight="1" x14ac:dyDescent="0.2">
      <c r="A30" s="9" t="s">
        <v>369</v>
      </c>
      <c r="B30" s="37">
        <v>1248.3408568080624</v>
      </c>
      <c r="C30" s="37">
        <v>261.75090672743283</v>
      </c>
      <c r="D30" s="37">
        <v>112.9423319452942</v>
      </c>
      <c r="E30" s="37">
        <v>279.17077803249697</v>
      </c>
      <c r="F30" s="37">
        <v>624.67832637437255</v>
      </c>
      <c r="G30" s="37">
        <v>354.76973814134288</v>
      </c>
      <c r="H30" s="37">
        <v>6.6862496250041383</v>
      </c>
      <c r="I30" s="37">
        <v>95.561418642662517</v>
      </c>
      <c r="J30" s="37">
        <v>66.808578692005028</v>
      </c>
      <c r="K30" s="37">
        <v>40.132717871613401</v>
      </c>
      <c r="L30" s="37">
        <v>75.331415129496563</v>
      </c>
      <c r="M30" s="37">
        <v>6.1328886054951788</v>
      </c>
      <c r="N30" s="37">
        <v>6.2175233689438194</v>
      </c>
      <c r="O30" s="37">
        <v>3178.5237299642222</v>
      </c>
    </row>
    <row r="31" spans="1:18" ht="15" customHeight="1" x14ac:dyDescent="0.2">
      <c r="A31" s="9" t="s">
        <v>370</v>
      </c>
      <c r="B31" s="37">
        <v>1159.7947001317984</v>
      </c>
      <c r="C31" s="37">
        <v>225.32302185818276</v>
      </c>
      <c r="D31" s="37">
        <v>99.816592845276659</v>
      </c>
      <c r="E31" s="37">
        <v>253.92087170102343</v>
      </c>
      <c r="F31" s="37">
        <v>571.43434529374508</v>
      </c>
      <c r="G31" s="37">
        <v>332.24068261574268</v>
      </c>
      <c r="H31" s="37">
        <v>5.0845056309751175</v>
      </c>
      <c r="I31" s="37">
        <v>95.608377267187677</v>
      </c>
      <c r="J31" s="37">
        <v>90.109925607455096</v>
      </c>
      <c r="K31" s="37">
        <v>39.8189546703993</v>
      </c>
      <c r="L31" s="37">
        <v>78.876891157994095</v>
      </c>
      <c r="M31" s="37">
        <v>6.2334737553282213</v>
      </c>
      <c r="N31" s="37">
        <v>7.5953976930008746</v>
      </c>
      <c r="O31" s="37">
        <v>2965.8577402281094</v>
      </c>
    </row>
    <row r="32" spans="1:18" ht="15" customHeight="1" x14ac:dyDescent="0.2">
      <c r="A32" s="9" t="s">
        <v>371</v>
      </c>
      <c r="B32" s="37">
        <v>1375.9788704390494</v>
      </c>
      <c r="C32" s="37">
        <v>253.14739662926175</v>
      </c>
      <c r="D32" s="37">
        <v>93.979974293524975</v>
      </c>
      <c r="E32" s="37">
        <v>250.97019461441172</v>
      </c>
      <c r="F32" s="37">
        <v>630.92965952060104</v>
      </c>
      <c r="G32" s="37">
        <v>372.28396031122952</v>
      </c>
      <c r="H32" s="37">
        <v>6.9155907289257028</v>
      </c>
      <c r="I32" s="37">
        <v>116.58928338226617</v>
      </c>
      <c r="J32" s="37">
        <v>159.2807821229917</v>
      </c>
      <c r="K32" s="37">
        <v>36.339985463731956</v>
      </c>
      <c r="L32" s="37">
        <v>63.850861188368128</v>
      </c>
      <c r="M32" s="37">
        <v>7.2720711127090425</v>
      </c>
      <c r="N32" s="37">
        <v>6.160327949031128</v>
      </c>
      <c r="O32" s="37">
        <v>3373.6989577561021</v>
      </c>
    </row>
    <row r="33" spans="1:15" ht="15" customHeight="1" x14ac:dyDescent="0.2">
      <c r="A33" s="9" t="s">
        <v>372</v>
      </c>
      <c r="B33" s="37">
        <v>1276.9081916465377</v>
      </c>
      <c r="C33" s="37">
        <v>235.35104958397693</v>
      </c>
      <c r="D33" s="37">
        <v>75.168312926837828</v>
      </c>
      <c r="E33" s="37">
        <v>279.38850633865042</v>
      </c>
      <c r="F33" s="37">
        <v>637.88069539425715</v>
      </c>
      <c r="G33" s="37">
        <v>376.56958507787994</v>
      </c>
      <c r="H33" s="37">
        <v>7.2789815347949602</v>
      </c>
      <c r="I33" s="37">
        <v>108.73212885852179</v>
      </c>
      <c r="J33" s="37">
        <v>138.47127630627898</v>
      </c>
      <c r="K33" s="37">
        <v>37.917756182508171</v>
      </c>
      <c r="L33" s="37">
        <v>69.197043052607029</v>
      </c>
      <c r="M33" s="37">
        <v>4.8896263883432756</v>
      </c>
      <c r="N33" s="37">
        <v>6.1596236747343038</v>
      </c>
      <c r="O33" s="37">
        <v>3253.9127769659285</v>
      </c>
    </row>
    <row r="34" spans="1:15" ht="15" customHeight="1" x14ac:dyDescent="0.2">
      <c r="A34" s="8" t="s">
        <v>294</v>
      </c>
      <c r="B34" s="22">
        <v>1386.568398050686</v>
      </c>
      <c r="C34" s="22">
        <v>242.11778744007461</v>
      </c>
      <c r="D34" s="22">
        <v>92.205400925327922</v>
      </c>
      <c r="E34" s="22">
        <v>259.00482053803904</v>
      </c>
      <c r="F34" s="22">
        <v>646.95980624798062</v>
      </c>
      <c r="G34" s="22">
        <v>370.9416401959848</v>
      </c>
      <c r="H34" s="22">
        <v>9.1598023597893068</v>
      </c>
      <c r="I34" s="22">
        <v>120.97891575111355</v>
      </c>
      <c r="J34" s="22">
        <v>116.93919644825642</v>
      </c>
      <c r="K34" s="22">
        <v>34.711794681646467</v>
      </c>
      <c r="L34" s="22">
        <v>58.551745882717377</v>
      </c>
      <c r="M34" s="22">
        <v>4.8559200401180558</v>
      </c>
      <c r="N34" s="22">
        <v>4.4175035443038926</v>
      </c>
      <c r="O34" s="22">
        <v>3347.4127321060378</v>
      </c>
    </row>
    <row r="35" spans="1:15" ht="15" customHeight="1" x14ac:dyDescent="0.2">
      <c r="A35" s="8" t="s">
        <v>295</v>
      </c>
      <c r="B35" s="22">
        <v>1219.2614496389624</v>
      </c>
      <c r="C35" s="22">
        <v>210.95507937865065</v>
      </c>
      <c r="D35" s="22">
        <v>96.67404928590274</v>
      </c>
      <c r="E35" s="22">
        <v>206.29551888979717</v>
      </c>
      <c r="F35" s="22">
        <v>684.48925386184385</v>
      </c>
      <c r="G35" s="22">
        <v>372.13004877851051</v>
      </c>
      <c r="H35" s="22">
        <v>5.5677013875599766</v>
      </c>
      <c r="I35" s="22">
        <v>127.70710933464161</v>
      </c>
      <c r="J35" s="22">
        <v>88.955803105145321</v>
      </c>
      <c r="K35" s="22">
        <v>51.838890605745455</v>
      </c>
      <c r="L35" s="22">
        <v>70.049744758411478</v>
      </c>
      <c r="M35" s="22">
        <v>5.2620202187820544</v>
      </c>
      <c r="N35" s="22">
        <v>5.5248477220597758</v>
      </c>
      <c r="O35" s="22">
        <v>3144.7115169660133</v>
      </c>
    </row>
    <row r="36" spans="1:15" ht="15" customHeight="1" x14ac:dyDescent="0.2">
      <c r="A36" s="8" t="s">
        <v>360</v>
      </c>
      <c r="B36" s="22">
        <v>1415.5258237350376</v>
      </c>
      <c r="C36" s="22">
        <v>236.68523583518663</v>
      </c>
      <c r="D36" s="22">
        <v>110.66590206623917</v>
      </c>
      <c r="E36" s="22">
        <v>254.57553156011681</v>
      </c>
      <c r="F36" s="22">
        <v>792.18805576425916</v>
      </c>
      <c r="G36" s="22">
        <v>419.97327522421295</v>
      </c>
      <c r="H36" s="22">
        <v>9.1301546923194472</v>
      </c>
      <c r="I36" s="22">
        <v>177.08877504455222</v>
      </c>
      <c r="J36" s="22">
        <v>118.53812657398143</v>
      </c>
      <c r="K36" s="22">
        <v>70.159633664950093</v>
      </c>
      <c r="L36" s="22">
        <v>101.18784110159771</v>
      </c>
      <c r="M36" s="22">
        <v>8.0039135154393684</v>
      </c>
      <c r="N36" s="22">
        <v>9.2674099517898263</v>
      </c>
      <c r="O36" s="22">
        <v>3722.9896787296825</v>
      </c>
    </row>
    <row r="37" spans="1:15" ht="15" customHeight="1" x14ac:dyDescent="0.2">
      <c r="A37" s="8" t="s">
        <v>361</v>
      </c>
      <c r="B37" s="22">
        <v>1292.305200303578</v>
      </c>
      <c r="C37" s="22">
        <v>224.86000198107132</v>
      </c>
      <c r="D37" s="22">
        <v>88.477424740092445</v>
      </c>
      <c r="E37" s="22">
        <v>251.12910487148201</v>
      </c>
      <c r="F37" s="22">
        <v>749.878907314299</v>
      </c>
      <c r="G37" s="22">
        <v>344.13935272962681</v>
      </c>
      <c r="H37" s="22">
        <v>7.3435208511424381</v>
      </c>
      <c r="I37" s="22">
        <v>147.76676968330636</v>
      </c>
      <c r="J37" s="22">
        <v>118.6336450533466</v>
      </c>
      <c r="K37" s="22">
        <v>58.917849612320126</v>
      </c>
      <c r="L37" s="22">
        <v>71.582843537421766</v>
      </c>
      <c r="M37" s="22">
        <v>6.0552919831648451</v>
      </c>
      <c r="N37" s="22">
        <v>5.1706868539003681</v>
      </c>
      <c r="O37" s="22">
        <v>3366.2605995147524</v>
      </c>
    </row>
    <row r="38" spans="1:15" ht="15" customHeight="1" x14ac:dyDescent="0.2">
      <c r="A38" s="173" t="s">
        <v>383</v>
      </c>
      <c r="B38" s="170">
        <v>1276.6930091679362</v>
      </c>
      <c r="C38" s="170">
        <v>240.26204421258262</v>
      </c>
      <c r="D38" s="170">
        <v>101.806713957008</v>
      </c>
      <c r="E38" s="170">
        <v>308.9139373587351</v>
      </c>
      <c r="F38" s="170">
        <v>777.3310390053407</v>
      </c>
      <c r="G38" s="170">
        <v>351.56511379190027</v>
      </c>
      <c r="H38" s="170">
        <v>8.5905896792693266</v>
      </c>
      <c r="I38" s="170">
        <v>142.19431741304578</v>
      </c>
      <c r="J38" s="170">
        <v>109.83946567101822</v>
      </c>
      <c r="K38" s="170">
        <v>49.827601472288926</v>
      </c>
      <c r="L38" s="170">
        <v>78.113317918472532</v>
      </c>
      <c r="M38" s="170">
        <v>10.928873961083198</v>
      </c>
      <c r="N38" s="170">
        <v>4.9775311722445821</v>
      </c>
      <c r="O38" s="170">
        <v>3461.0435547809257</v>
      </c>
    </row>
    <row r="39" spans="1:15" s="30" customFormat="1" ht="15" customHeight="1" x14ac:dyDescent="0.2">
      <c r="A39" s="145"/>
      <c r="B39" s="146"/>
      <c r="C39" s="146"/>
      <c r="D39" s="146"/>
      <c r="E39" s="146"/>
      <c r="F39" s="146"/>
      <c r="G39" s="146"/>
      <c r="H39" s="146"/>
      <c r="I39" s="146"/>
      <c r="J39" s="146"/>
      <c r="K39" s="146"/>
      <c r="L39" s="146"/>
      <c r="M39" s="146"/>
      <c r="N39" s="146"/>
      <c r="O39" s="146"/>
    </row>
    <row r="40" spans="1:15" s="30" customFormat="1" ht="15" customHeight="1" x14ac:dyDescent="0.2">
      <c r="A40" s="147">
        <v>43831</v>
      </c>
      <c r="B40" s="148">
        <v>474.03528368235254</v>
      </c>
      <c r="C40" s="148">
        <v>70.181459535532923</v>
      </c>
      <c r="D40" s="148">
        <v>24.716788665495059</v>
      </c>
      <c r="E40" s="148">
        <v>82.799869251644964</v>
      </c>
      <c r="F40" s="148">
        <v>160.82411700208809</v>
      </c>
      <c r="G40" s="148">
        <v>99.734888425588025</v>
      </c>
      <c r="H40" s="148">
        <v>2.7048652893327363</v>
      </c>
      <c r="I40" s="148">
        <v>24.553363880319907</v>
      </c>
      <c r="J40" s="148">
        <v>19.479613684623679</v>
      </c>
      <c r="K40" s="148">
        <v>14.344180264338744</v>
      </c>
      <c r="L40" s="148">
        <v>27.930497536983829</v>
      </c>
      <c r="M40" s="148">
        <v>2.0311726944779487</v>
      </c>
      <c r="N40" s="148">
        <v>1.5489927046651353</v>
      </c>
      <c r="O40" s="148">
        <v>1004.8850926174435</v>
      </c>
    </row>
    <row r="41" spans="1:15" s="30" customFormat="1" ht="15" customHeight="1" x14ac:dyDescent="0.2">
      <c r="A41" s="147">
        <v>43862</v>
      </c>
      <c r="B41" s="148">
        <v>468.13736265909097</v>
      </c>
      <c r="C41" s="148">
        <v>71.522925748005648</v>
      </c>
      <c r="D41" s="148">
        <v>21.429204659985416</v>
      </c>
      <c r="E41" s="148">
        <v>57.834175347861695</v>
      </c>
      <c r="F41" s="148">
        <v>171.18979591634402</v>
      </c>
      <c r="G41" s="148">
        <v>107.80424173343879</v>
      </c>
      <c r="H41" s="148">
        <v>3.1302263238945423</v>
      </c>
      <c r="I41" s="148">
        <v>26.166336237379021</v>
      </c>
      <c r="J41" s="148">
        <v>18.654218435714807</v>
      </c>
      <c r="K41" s="148">
        <v>14.681542105541444</v>
      </c>
      <c r="L41" s="148">
        <v>24.659594966590074</v>
      </c>
      <c r="M41" s="148">
        <v>1.8359622400623916</v>
      </c>
      <c r="N41" s="148">
        <v>1.4714337518478064</v>
      </c>
      <c r="O41" s="148">
        <v>988.51702012575663</v>
      </c>
    </row>
    <row r="42" spans="1:15" s="30" customFormat="1" ht="15" customHeight="1" x14ac:dyDescent="0.2">
      <c r="A42" s="147">
        <v>43891</v>
      </c>
      <c r="B42" s="148">
        <v>312.70370560482274</v>
      </c>
      <c r="C42" s="148">
        <v>54.450445809311418</v>
      </c>
      <c r="D42" s="148">
        <v>8.4378258350008419</v>
      </c>
      <c r="E42" s="148">
        <v>37.021430168257702</v>
      </c>
      <c r="F42" s="148">
        <v>118.76824792617623</v>
      </c>
      <c r="G42" s="148">
        <v>62.523204979879139</v>
      </c>
      <c r="H42" s="148">
        <v>1.3552464839154703</v>
      </c>
      <c r="I42" s="148">
        <v>19.705671477984858</v>
      </c>
      <c r="J42" s="148">
        <v>12.911055346820731</v>
      </c>
      <c r="K42" s="148">
        <v>10.542400215717668</v>
      </c>
      <c r="L42" s="148">
        <v>15.625941433085103</v>
      </c>
      <c r="M42" s="148">
        <v>1.0244459022559032</v>
      </c>
      <c r="N42" s="148">
        <v>1.1488283266694761</v>
      </c>
      <c r="O42" s="148">
        <v>656.21844950989725</v>
      </c>
    </row>
    <row r="43" spans="1:15" s="30" customFormat="1" ht="15" customHeight="1" x14ac:dyDescent="0.2">
      <c r="A43" s="147">
        <v>43922</v>
      </c>
      <c r="B43" s="148">
        <v>65.217569541767531</v>
      </c>
      <c r="C43" s="148">
        <v>24.194181657442769</v>
      </c>
      <c r="D43" s="148">
        <v>0.1331818644496166</v>
      </c>
      <c r="E43" s="148">
        <v>14.521662981023482</v>
      </c>
      <c r="F43" s="148">
        <v>56.69531595345893</v>
      </c>
      <c r="G43" s="148">
        <v>78.374068899046748</v>
      </c>
      <c r="H43" s="148">
        <v>1.5720759052730036</v>
      </c>
      <c r="I43" s="148">
        <v>14.285453498814515</v>
      </c>
      <c r="J43" s="148">
        <v>12.042335458817705</v>
      </c>
      <c r="K43" s="148">
        <v>4.9365516605605606</v>
      </c>
      <c r="L43" s="148">
        <v>9.1163376101973537</v>
      </c>
      <c r="M43" s="148">
        <v>0.96701891494644343</v>
      </c>
      <c r="N43" s="148">
        <v>0.25459040921784748</v>
      </c>
      <c r="O43" s="148">
        <v>282.31034435501653</v>
      </c>
    </row>
    <row r="44" spans="1:15" s="30" customFormat="1" ht="15" customHeight="1" x14ac:dyDescent="0.2">
      <c r="A44" s="147">
        <v>43952</v>
      </c>
      <c r="B44" s="148">
        <v>220.13378455806034</v>
      </c>
      <c r="C44" s="148">
        <v>49.383756191946347</v>
      </c>
      <c r="D44" s="148">
        <v>6.8489112799616745</v>
      </c>
      <c r="E44" s="148">
        <v>10.603540626549785</v>
      </c>
      <c r="F44" s="148">
        <v>114.003305288372</v>
      </c>
      <c r="G44" s="148">
        <v>108.29071099992015</v>
      </c>
      <c r="H44" s="148">
        <v>1.8104942165917015</v>
      </c>
      <c r="I44" s="148">
        <v>27.854772304580415</v>
      </c>
      <c r="J44" s="148">
        <v>19.267683267239772</v>
      </c>
      <c r="K44" s="148">
        <v>10.169542591754718</v>
      </c>
      <c r="L44" s="148">
        <v>15.617533611902163</v>
      </c>
      <c r="M44" s="148">
        <v>2.2455321534080324</v>
      </c>
      <c r="N44" s="148">
        <v>0.45770697575385411</v>
      </c>
      <c r="O44" s="148">
        <v>586.68727406604091</v>
      </c>
    </row>
    <row r="45" spans="1:15" s="30" customFormat="1" ht="15" customHeight="1" x14ac:dyDescent="0.2">
      <c r="A45" s="147">
        <v>43983</v>
      </c>
      <c r="B45" s="148">
        <v>403.66684834193313</v>
      </c>
      <c r="C45" s="148">
        <v>65.978007856760655</v>
      </c>
      <c r="D45" s="148">
        <v>11.180553572621259</v>
      </c>
      <c r="E45" s="148">
        <v>16.699904475492605</v>
      </c>
      <c r="F45" s="148">
        <v>163.79084057659279</v>
      </c>
      <c r="G45" s="148">
        <v>114.93118634397123</v>
      </c>
      <c r="H45" s="148">
        <v>2.887742711254635</v>
      </c>
      <c r="I45" s="148">
        <v>34.233185924513791</v>
      </c>
      <c r="J45" s="148">
        <v>31.493140214407287</v>
      </c>
      <c r="K45" s="148">
        <v>16.028151166011039</v>
      </c>
      <c r="L45" s="148">
        <v>29.539397691370738</v>
      </c>
      <c r="M45" s="148">
        <v>1.6261970643356305</v>
      </c>
      <c r="N45" s="148">
        <v>2.0801430511226302</v>
      </c>
      <c r="O45" s="148">
        <v>894.13529899038747</v>
      </c>
    </row>
    <row r="46" spans="1:15" s="30" customFormat="1" ht="15" customHeight="1" x14ac:dyDescent="0.2">
      <c r="A46" s="147">
        <v>44013</v>
      </c>
      <c r="B46" s="148">
        <v>469.15447590432433</v>
      </c>
      <c r="C46" s="148">
        <v>82.186496504952686</v>
      </c>
      <c r="D46" s="148">
        <v>17.667677424647035</v>
      </c>
      <c r="E46" s="148">
        <v>26.681399002320791</v>
      </c>
      <c r="F46" s="148">
        <v>223.65987443011454</v>
      </c>
      <c r="G46" s="148">
        <v>130.93066669823355</v>
      </c>
      <c r="H46" s="148">
        <v>2.895718022240672</v>
      </c>
      <c r="I46" s="148">
        <v>40.799469229539945</v>
      </c>
      <c r="J46" s="148">
        <v>40.93754827986421</v>
      </c>
      <c r="K46" s="148">
        <v>17.486722995641077</v>
      </c>
      <c r="L46" s="148">
        <v>28.103451377383859</v>
      </c>
      <c r="M46" s="148">
        <v>2.9110309838056443</v>
      </c>
      <c r="N46" s="148">
        <v>1.606543801489793</v>
      </c>
      <c r="O46" s="148">
        <v>1085.0210746545581</v>
      </c>
    </row>
    <row r="47" spans="1:15" s="30" customFormat="1" ht="15" customHeight="1" x14ac:dyDescent="0.2">
      <c r="A47" s="147">
        <v>44044</v>
      </c>
      <c r="B47" s="148">
        <v>440.04062118328403</v>
      </c>
      <c r="C47" s="148">
        <v>71.012170547541047</v>
      </c>
      <c r="D47" s="148">
        <v>12.221012077088536</v>
      </c>
      <c r="E47" s="148">
        <v>21.962563443236508</v>
      </c>
      <c r="F47" s="148">
        <v>183.75336464859035</v>
      </c>
      <c r="G47" s="148">
        <v>102.97500576817299</v>
      </c>
      <c r="H47" s="148">
        <v>1.4996588908557826</v>
      </c>
      <c r="I47" s="148">
        <v>33.926344433212776</v>
      </c>
      <c r="J47" s="148">
        <v>39.72647068399769</v>
      </c>
      <c r="K47" s="148">
        <v>12.068565285279828</v>
      </c>
      <c r="L47" s="148">
        <v>25.660512147777727</v>
      </c>
      <c r="M47" s="148">
        <v>1.6196068285649228</v>
      </c>
      <c r="N47" s="148">
        <v>0.76272122011603805</v>
      </c>
      <c r="O47" s="148">
        <v>947.2286171577183</v>
      </c>
    </row>
    <row r="48" spans="1:15" s="30" customFormat="1" ht="15" customHeight="1" x14ac:dyDescent="0.2">
      <c r="A48" s="147">
        <v>44075</v>
      </c>
      <c r="B48" s="148">
        <v>433.71806884982408</v>
      </c>
      <c r="C48" s="148">
        <v>77.984834209489506</v>
      </c>
      <c r="D48" s="148">
        <v>20.28135801903133</v>
      </c>
      <c r="E48" s="148">
        <v>28.640634215490909</v>
      </c>
      <c r="F48" s="148">
        <v>213.92912988423075</v>
      </c>
      <c r="G48" s="148">
        <v>113.99294294437115</v>
      </c>
      <c r="H48" s="148">
        <v>2.0634169496361974</v>
      </c>
      <c r="I48" s="148">
        <v>35.77233437837949</v>
      </c>
      <c r="J48" s="148">
        <v>38.581813246054594</v>
      </c>
      <c r="K48" s="148">
        <v>10.796623789329072</v>
      </c>
      <c r="L48" s="148">
        <v>21.283847756897874</v>
      </c>
      <c r="M48" s="148">
        <v>1.6714918092413356</v>
      </c>
      <c r="N48" s="148">
        <v>1.3256325537731144</v>
      </c>
      <c r="O48" s="148">
        <v>1000.0421286057493</v>
      </c>
    </row>
    <row r="49" spans="1:15" s="30" customFormat="1" ht="15" customHeight="1" x14ac:dyDescent="0.2">
      <c r="A49" s="147">
        <v>44105</v>
      </c>
      <c r="B49" s="148">
        <v>358.21688098270471</v>
      </c>
      <c r="C49" s="148">
        <v>77.906475740615136</v>
      </c>
      <c r="D49" s="148">
        <v>16.240140969887424</v>
      </c>
      <c r="E49" s="148">
        <v>24.355692643472086</v>
      </c>
      <c r="F49" s="148">
        <v>162.40208128047453</v>
      </c>
      <c r="G49" s="148">
        <v>112.21815613819069</v>
      </c>
      <c r="H49" s="148">
        <v>2.3909775431188494</v>
      </c>
      <c r="I49" s="148">
        <v>32.504573024307909</v>
      </c>
      <c r="J49" s="148">
        <v>33.573141420499802</v>
      </c>
      <c r="K49" s="148">
        <v>8.7196798976782972</v>
      </c>
      <c r="L49" s="148">
        <v>21.993273985444425</v>
      </c>
      <c r="M49" s="148">
        <v>2.1888901630304836</v>
      </c>
      <c r="N49" s="148">
        <v>1.5654071533018432</v>
      </c>
      <c r="O49" s="148">
        <v>854.27537094272611</v>
      </c>
    </row>
    <row r="50" spans="1:15" s="30" customFormat="1" ht="15" customHeight="1" x14ac:dyDescent="0.2">
      <c r="A50" s="147">
        <v>44136</v>
      </c>
      <c r="B50" s="148">
        <v>326.23688668973455</v>
      </c>
      <c r="C50" s="148">
        <v>66.372808041855492</v>
      </c>
      <c r="D50" s="148">
        <v>23.61317033268358</v>
      </c>
      <c r="E50" s="148">
        <v>21.268084641543592</v>
      </c>
      <c r="F50" s="148">
        <v>159.88499761348399</v>
      </c>
      <c r="G50" s="148">
        <v>96.200234879716348</v>
      </c>
      <c r="H50" s="148">
        <v>3.1871259420244367</v>
      </c>
      <c r="I50" s="148">
        <v>28.597897414445296</v>
      </c>
      <c r="J50" s="148">
        <v>33.762566917151638</v>
      </c>
      <c r="K50" s="148">
        <v>7.5632516903135594</v>
      </c>
      <c r="L50" s="148">
        <v>13.754475193762373</v>
      </c>
      <c r="M50" s="148">
        <v>2.3391801370433827</v>
      </c>
      <c r="N50" s="148">
        <v>0.87526506562632544</v>
      </c>
      <c r="O50" s="148">
        <v>783.65594455938458</v>
      </c>
    </row>
    <row r="51" spans="1:15" s="30" customFormat="1" ht="15" customHeight="1" x14ac:dyDescent="0.2">
      <c r="A51" s="147">
        <v>44166</v>
      </c>
      <c r="B51" s="148">
        <v>451.79293473952117</v>
      </c>
      <c r="C51" s="148">
        <v>74.913012481956088</v>
      </c>
      <c r="D51" s="148">
        <v>18.704804785390916</v>
      </c>
      <c r="E51" s="148">
        <v>31.171102063409787</v>
      </c>
      <c r="F51" s="148">
        <v>178.90497021084272</v>
      </c>
      <c r="G51" s="148">
        <v>112.97108879476788</v>
      </c>
      <c r="H51" s="148">
        <v>4.5994017326433818</v>
      </c>
      <c r="I51" s="148">
        <v>26.772245630193471</v>
      </c>
      <c r="J51" s="148">
        <v>33.064284408453368</v>
      </c>
      <c r="K51" s="148">
        <v>7.3318337320535818</v>
      </c>
      <c r="L51" s="148">
        <v>18.576117253670489</v>
      </c>
      <c r="M51" s="148">
        <v>4.6405732916911973</v>
      </c>
      <c r="N51" s="148">
        <v>1.0084751488122095</v>
      </c>
      <c r="O51" s="148">
        <v>964.45084427340635</v>
      </c>
    </row>
    <row r="52" spans="1:15" s="30" customFormat="1" ht="15" customHeight="1" x14ac:dyDescent="0.2">
      <c r="A52" s="149">
        <v>44197</v>
      </c>
      <c r="B52" s="146">
        <v>422.98758014255725</v>
      </c>
      <c r="C52" s="146">
        <v>80.226941453647868</v>
      </c>
      <c r="D52" s="146">
        <v>23.393441890937037</v>
      </c>
      <c r="E52" s="146">
        <v>34.399055630047371</v>
      </c>
      <c r="F52" s="146">
        <v>171.27167362584649</v>
      </c>
      <c r="G52" s="146">
        <v>100.98851366305531</v>
      </c>
      <c r="H52" s="146">
        <v>3.9330382305170093</v>
      </c>
      <c r="I52" s="146">
        <v>24.155910348896906</v>
      </c>
      <c r="J52" s="146">
        <v>42.042814367862555</v>
      </c>
      <c r="K52" s="146">
        <v>8.066628904761254</v>
      </c>
      <c r="L52" s="146">
        <v>20.763048981635954</v>
      </c>
      <c r="M52" s="146">
        <v>3.4720380824791408</v>
      </c>
      <c r="N52" s="146">
        <v>0.96159616319434749</v>
      </c>
      <c r="O52" s="146">
        <v>936.66228148543848</v>
      </c>
    </row>
    <row r="53" spans="1:15" s="30" customFormat="1" ht="15" customHeight="1" x14ac:dyDescent="0.2">
      <c r="A53" s="149">
        <v>44228</v>
      </c>
      <c r="B53" s="146">
        <v>443.32754659871745</v>
      </c>
      <c r="C53" s="146">
        <v>80.955874728508007</v>
      </c>
      <c r="D53" s="146">
        <v>19.663415643606701</v>
      </c>
      <c r="E53" s="146">
        <v>22.670820613411948</v>
      </c>
      <c r="F53" s="146">
        <v>173.68532800354518</v>
      </c>
      <c r="G53" s="146">
        <v>112.53331304990814</v>
      </c>
      <c r="H53" s="146">
        <v>2.7268168488636628</v>
      </c>
      <c r="I53" s="146">
        <v>30.905042034560317</v>
      </c>
      <c r="J53" s="146">
        <v>33.121139295035462</v>
      </c>
      <c r="K53" s="146">
        <v>9.2324898630108745</v>
      </c>
      <c r="L53" s="146">
        <v>18.007857827085044</v>
      </c>
      <c r="M53" s="146">
        <v>3.6439346718779388</v>
      </c>
      <c r="N53" s="146">
        <v>1.2509948703152149</v>
      </c>
      <c r="O53" s="146">
        <v>951.7245740484459</v>
      </c>
    </row>
    <row r="54" spans="1:15" s="30" customFormat="1" ht="15" customHeight="1" x14ac:dyDescent="0.2">
      <c r="A54" s="149">
        <v>44256</v>
      </c>
      <c r="B54" s="146">
        <v>467.20991415988732</v>
      </c>
      <c r="C54" s="146">
        <v>95.152414082469249</v>
      </c>
      <c r="D54" s="146">
        <v>27.713975561280826</v>
      </c>
      <c r="E54" s="146">
        <v>28.76304357489802</v>
      </c>
      <c r="F54" s="146">
        <v>210.93473171982282</v>
      </c>
      <c r="G54" s="146">
        <v>124.60580429733606</v>
      </c>
      <c r="H54" s="146">
        <v>5.5427489599329887</v>
      </c>
      <c r="I54" s="146">
        <v>41.232334100744993</v>
      </c>
      <c r="J54" s="146">
        <v>38.617620621121162</v>
      </c>
      <c r="K54" s="146">
        <v>14.572597916058534</v>
      </c>
      <c r="L54" s="146">
        <v>32.718948434505606</v>
      </c>
      <c r="M54" s="146">
        <v>4.6688963029710759</v>
      </c>
      <c r="N54" s="146">
        <v>2.040822357315891</v>
      </c>
      <c r="O54" s="146">
        <v>1093.7738520883445</v>
      </c>
    </row>
    <row r="55" spans="1:15" s="30" customFormat="1" ht="15" customHeight="1" x14ac:dyDescent="0.2">
      <c r="A55" s="149">
        <v>44287</v>
      </c>
      <c r="B55" s="146">
        <v>365.9697534025924</v>
      </c>
      <c r="C55" s="146">
        <v>61.554814261762814</v>
      </c>
      <c r="D55" s="146">
        <v>24.197707708828251</v>
      </c>
      <c r="E55" s="146">
        <v>36.284892764763427</v>
      </c>
      <c r="F55" s="146">
        <v>159.04408062890332</v>
      </c>
      <c r="G55" s="146">
        <v>79.25600993298653</v>
      </c>
      <c r="H55" s="146">
        <v>3.1862144988172605</v>
      </c>
      <c r="I55" s="146">
        <v>27.328302847185991</v>
      </c>
      <c r="J55" s="146">
        <v>22.372709289191228</v>
      </c>
      <c r="K55" s="146">
        <v>9.7175993121368833</v>
      </c>
      <c r="L55" s="146">
        <v>23.781227111329478</v>
      </c>
      <c r="M55" s="146">
        <v>4.1866220298546777</v>
      </c>
      <c r="N55" s="146">
        <v>1.3043264209337595</v>
      </c>
      <c r="O55" s="146">
        <v>818.18426020928609</v>
      </c>
    </row>
    <row r="56" spans="1:15" s="30" customFormat="1" ht="15" customHeight="1" x14ac:dyDescent="0.2">
      <c r="A56" s="149">
        <v>44317</v>
      </c>
      <c r="B56" s="146">
        <v>372.42300132725603</v>
      </c>
      <c r="C56" s="146">
        <v>88.933488077993957</v>
      </c>
      <c r="D56" s="146">
        <v>15.991488115070945</v>
      </c>
      <c r="E56" s="146">
        <v>33.259087504119591</v>
      </c>
      <c r="F56" s="146">
        <v>176.34418502520487</v>
      </c>
      <c r="G56" s="146">
        <v>109.23315818296693</v>
      </c>
      <c r="H56" s="146">
        <v>2.2521983849463409</v>
      </c>
      <c r="I56" s="146">
        <v>34.048218741216139</v>
      </c>
      <c r="J56" s="146">
        <v>25.151571553330491</v>
      </c>
      <c r="K56" s="146">
        <v>9.8942967071123196</v>
      </c>
      <c r="L56" s="146">
        <v>18.683530957032275</v>
      </c>
      <c r="M56" s="146">
        <v>4.4676038093100319</v>
      </c>
      <c r="N56" s="146">
        <v>1.0213917349376684</v>
      </c>
      <c r="O56" s="146">
        <v>891.70322012049758</v>
      </c>
    </row>
    <row r="57" spans="1:15" s="30" customFormat="1" ht="15" customHeight="1" x14ac:dyDescent="0.2">
      <c r="A57" s="149">
        <v>44348</v>
      </c>
      <c r="B57" s="146">
        <v>415.49087235713233</v>
      </c>
      <c r="C57" s="146">
        <v>92.851847338627863</v>
      </c>
      <c r="D57" s="146">
        <v>21.19255789698628</v>
      </c>
      <c r="E57" s="146">
        <v>41.301990864079862</v>
      </c>
      <c r="F57" s="146">
        <v>200.53865125482889</v>
      </c>
      <c r="G57" s="146">
        <v>123.91445838948914</v>
      </c>
      <c r="H57" s="146">
        <v>2.6428400213996772</v>
      </c>
      <c r="I57" s="146">
        <v>38.571432071790014</v>
      </c>
      <c r="J57" s="146">
        <v>35.527637442628496</v>
      </c>
      <c r="K57" s="146">
        <v>8.8824170724981624</v>
      </c>
      <c r="L57" s="146">
        <v>20.73074775756308</v>
      </c>
      <c r="M57" s="146">
        <v>4.4288604371719797</v>
      </c>
      <c r="N57" s="146">
        <v>0.94038839713112754</v>
      </c>
      <c r="O57" s="146">
        <v>1007.0147013013269</v>
      </c>
    </row>
    <row r="58" spans="1:15" s="30" customFormat="1" ht="15" customHeight="1" x14ac:dyDescent="0.2">
      <c r="A58" s="149">
        <v>44378</v>
      </c>
      <c r="B58" s="146">
        <v>454.11570555331645</v>
      </c>
      <c r="C58" s="146">
        <v>93.38538217742169</v>
      </c>
      <c r="D58" s="146">
        <v>24.568685324070973</v>
      </c>
      <c r="E58" s="146">
        <v>51.95164584953158</v>
      </c>
      <c r="F58" s="146">
        <v>205.10168111160317</v>
      </c>
      <c r="G58" s="146">
        <v>115.12412951837653</v>
      </c>
      <c r="H58" s="146">
        <v>3.2506852610639783</v>
      </c>
      <c r="I58" s="146">
        <v>40.610076958542393</v>
      </c>
      <c r="J58" s="146">
        <v>45.849656666890027</v>
      </c>
      <c r="K58" s="146">
        <v>15.10544553945488</v>
      </c>
      <c r="L58" s="146">
        <v>47.137010868206367</v>
      </c>
      <c r="M58" s="146">
        <v>2.7109186519703687</v>
      </c>
      <c r="N58" s="146">
        <v>5.022405907055818</v>
      </c>
      <c r="O58" s="146">
        <v>1103.9334293875042</v>
      </c>
    </row>
    <row r="59" spans="1:15" s="30" customFormat="1" ht="15" customHeight="1" x14ac:dyDescent="0.2">
      <c r="A59" s="149">
        <v>44409</v>
      </c>
      <c r="B59" s="146">
        <v>493.2750785225677</v>
      </c>
      <c r="C59" s="146">
        <v>88.601988887586572</v>
      </c>
      <c r="D59" s="146">
        <v>22.332783310431854</v>
      </c>
      <c r="E59" s="146">
        <v>46.266227122196597</v>
      </c>
      <c r="F59" s="146">
        <v>206.95463558715471</v>
      </c>
      <c r="G59" s="146">
        <v>116.79015741421919</v>
      </c>
      <c r="H59" s="146">
        <v>3.7354056355098466</v>
      </c>
      <c r="I59" s="146">
        <v>40.072808078944021</v>
      </c>
      <c r="J59" s="146">
        <v>39.672381881977991</v>
      </c>
      <c r="K59" s="146">
        <v>15.677085225926637</v>
      </c>
      <c r="L59" s="146">
        <v>23.486621267702926</v>
      </c>
      <c r="M59" s="146">
        <v>3.1314904549455975</v>
      </c>
      <c r="N59" s="146">
        <v>1.0382112555581755</v>
      </c>
      <c r="O59" s="146">
        <v>1101.0348746447219</v>
      </c>
    </row>
    <row r="60" spans="1:15" s="30" customFormat="1" ht="15" customHeight="1" x14ac:dyDescent="0.2">
      <c r="A60" s="149">
        <v>44440</v>
      </c>
      <c r="B60" s="146">
        <v>458.48692535316837</v>
      </c>
      <c r="C60" s="146">
        <v>90.909206503625498</v>
      </c>
      <c r="D60" s="146">
        <v>20.488622007091589</v>
      </c>
      <c r="E60" s="146">
        <v>53.732294113166255</v>
      </c>
      <c r="F60" s="146">
        <v>185.20103179035354</v>
      </c>
      <c r="G60" s="146">
        <v>104.11931282298063</v>
      </c>
      <c r="H60" s="146">
        <v>5.1854155341613124</v>
      </c>
      <c r="I60" s="146">
        <v>35.790336597919257</v>
      </c>
      <c r="J60" s="146">
        <v>37.273169321803813</v>
      </c>
      <c r="K60" s="146">
        <v>13.289183284171461</v>
      </c>
      <c r="L60" s="146">
        <v>25.549194433470074</v>
      </c>
      <c r="M60" s="146">
        <v>3.073153553368603</v>
      </c>
      <c r="N60" s="146">
        <v>1.359679314090239</v>
      </c>
      <c r="O60" s="146">
        <v>1034.4575246293707</v>
      </c>
    </row>
    <row r="61" spans="1:15" s="30" customFormat="1" ht="15" customHeight="1" x14ac:dyDescent="0.2">
      <c r="A61" s="149">
        <v>44470</v>
      </c>
      <c r="B61" s="146">
        <v>510.56776165784555</v>
      </c>
      <c r="C61" s="146">
        <v>88.69241619792939</v>
      </c>
      <c r="D61" s="146">
        <v>26.121189577397971</v>
      </c>
      <c r="E61" s="146">
        <v>47.716153616605396</v>
      </c>
      <c r="F61" s="146">
        <v>273.68667262751671</v>
      </c>
      <c r="G61" s="146">
        <v>109.53494028292819</v>
      </c>
      <c r="H61" s="146">
        <v>3.1925265068011868</v>
      </c>
      <c r="I61" s="146">
        <v>40.346063357732042</v>
      </c>
      <c r="J61" s="146">
        <v>44.850860560376226</v>
      </c>
      <c r="K61" s="146">
        <v>14.988134948597617</v>
      </c>
      <c r="L61" s="146">
        <v>28.687088481321041</v>
      </c>
      <c r="M61" s="146">
        <v>2.1810932125382729</v>
      </c>
      <c r="N61" s="146">
        <v>1.7715383815893651</v>
      </c>
      <c r="O61" s="146">
        <v>1192.3364394091789</v>
      </c>
    </row>
    <row r="62" spans="1:15" s="30" customFormat="1" ht="15" customHeight="1" x14ac:dyDescent="0.2">
      <c r="A62" s="149">
        <v>44501</v>
      </c>
      <c r="B62" s="146">
        <v>498.0758782699935</v>
      </c>
      <c r="C62" s="146">
        <v>98.902075001164178</v>
      </c>
      <c r="D62" s="146">
        <v>27.775752057632538</v>
      </c>
      <c r="E62" s="146">
        <v>59.064714520886312</v>
      </c>
      <c r="F62" s="146">
        <v>251.59105954576023</v>
      </c>
      <c r="G62" s="146">
        <v>117.64551569368993</v>
      </c>
      <c r="H62" s="146">
        <v>3.2847879947408627</v>
      </c>
      <c r="I62" s="146">
        <v>40.800500167939674</v>
      </c>
      <c r="J62" s="146">
        <v>46.622580454992665</v>
      </c>
      <c r="K62" s="146">
        <v>16.937372239522595</v>
      </c>
      <c r="L62" s="146">
        <v>43.646210077172981</v>
      </c>
      <c r="M62" s="146">
        <v>3.4856507587999892</v>
      </c>
      <c r="N62" s="146">
        <v>3.6369755006239068</v>
      </c>
      <c r="O62" s="146">
        <v>1211.4690722829193</v>
      </c>
    </row>
    <row r="63" spans="1:15" s="30" customFormat="1" ht="15" customHeight="1" x14ac:dyDescent="0.2">
      <c r="A63" s="149">
        <v>44531</v>
      </c>
      <c r="B63" s="146">
        <v>533.17675430364602</v>
      </c>
      <c r="C63" s="146">
        <v>90.277168843936664</v>
      </c>
      <c r="D63" s="146">
        <v>23.236327151574734</v>
      </c>
      <c r="E63" s="146">
        <v>50.973301847871141</v>
      </c>
      <c r="F63" s="146">
        <v>219.04868522187286</v>
      </c>
      <c r="G63" s="146">
        <v>110.62878585295856</v>
      </c>
      <c r="H63" s="146">
        <v>3.2195757277841497</v>
      </c>
      <c r="I63" s="146">
        <v>31.387089652878117</v>
      </c>
      <c r="J63" s="146">
        <v>43.65825888907095</v>
      </c>
      <c r="K63" s="146">
        <v>12.401230567182559</v>
      </c>
      <c r="L63" s="146">
        <v>30.998445717208128</v>
      </c>
      <c r="M63" s="146">
        <v>5.0502619029885949</v>
      </c>
      <c r="N63" s="146">
        <v>2.2294484977583267</v>
      </c>
      <c r="O63" s="146">
        <v>1156.2853341767309</v>
      </c>
    </row>
    <row r="64" spans="1:15" s="30" customFormat="1" ht="15" customHeight="1" x14ac:dyDescent="0.2">
      <c r="A64" s="147">
        <v>44562</v>
      </c>
      <c r="B64" s="148">
        <v>516.111930089986</v>
      </c>
      <c r="C64" s="148">
        <v>82.013573683131582</v>
      </c>
      <c r="D64" s="148">
        <v>31.912970816868494</v>
      </c>
      <c r="E64" s="148">
        <v>67.160254757112966</v>
      </c>
      <c r="F64" s="148">
        <v>194.74897006274557</v>
      </c>
      <c r="G64" s="148">
        <v>91.226234114462727</v>
      </c>
      <c r="H64" s="148">
        <v>5.0883856427453544</v>
      </c>
      <c r="I64" s="148">
        <v>33.322768901946596</v>
      </c>
      <c r="J64" s="148">
        <v>35.027346706395711</v>
      </c>
      <c r="K64" s="148">
        <v>11.209153990748751</v>
      </c>
      <c r="L64" s="148">
        <v>28.63647467769788</v>
      </c>
      <c r="M64" s="148">
        <v>4.3064558406509921</v>
      </c>
      <c r="N64" s="148">
        <v>1.8389477461808976</v>
      </c>
      <c r="O64" s="148">
        <v>1102.6034670306735</v>
      </c>
    </row>
    <row r="65" spans="1:15" s="30" customFormat="1" ht="15" customHeight="1" x14ac:dyDescent="0.2">
      <c r="A65" s="147">
        <v>44593</v>
      </c>
      <c r="B65" s="148">
        <v>496.4167489672156</v>
      </c>
      <c r="C65" s="148">
        <v>88.325599475949289</v>
      </c>
      <c r="D65" s="148">
        <v>26.924874099042047</v>
      </c>
      <c r="E65" s="148">
        <v>56.817243917847826</v>
      </c>
      <c r="F65" s="148">
        <v>216.99247419154321</v>
      </c>
      <c r="G65" s="148">
        <v>100.86156763634885</v>
      </c>
      <c r="H65" s="148">
        <v>4.852455682222625</v>
      </c>
      <c r="I65" s="148">
        <v>34.676100144644344</v>
      </c>
      <c r="J65" s="148">
        <v>27.063174259255405</v>
      </c>
      <c r="K65" s="148">
        <v>9.7578995787568115</v>
      </c>
      <c r="L65" s="148">
        <v>24.877869514742518</v>
      </c>
      <c r="M65" s="148">
        <v>4.1078004096438816</v>
      </c>
      <c r="N65" s="148">
        <v>1.664029024042212</v>
      </c>
      <c r="O65" s="148">
        <v>1093.3378369012546</v>
      </c>
    </row>
    <row r="66" spans="1:15" s="30" customFormat="1" ht="15" customHeight="1" x14ac:dyDescent="0.2">
      <c r="A66" s="147">
        <v>44621</v>
      </c>
      <c r="B66" s="148">
        <v>464.43940414709306</v>
      </c>
      <c r="C66" s="148">
        <v>81.325968864942112</v>
      </c>
      <c r="D66" s="148">
        <v>39.704124001347758</v>
      </c>
      <c r="E66" s="148">
        <v>55.544110922395191</v>
      </c>
      <c r="F66" s="148">
        <v>214.28489930537768</v>
      </c>
      <c r="G66" s="148">
        <v>94.680823015377541</v>
      </c>
      <c r="H66" s="148">
        <v>4.698804955746124</v>
      </c>
      <c r="I66" s="148">
        <v>36.726919827792784</v>
      </c>
      <c r="J66" s="148">
        <v>23.237307770942358</v>
      </c>
      <c r="K66" s="148">
        <v>12.539971857810601</v>
      </c>
      <c r="L66" s="148">
        <v>27.367119469633682</v>
      </c>
      <c r="M66" s="148">
        <v>2.0021469374894698</v>
      </c>
      <c r="N66" s="148">
        <v>1.6804423550309773</v>
      </c>
      <c r="O66" s="148">
        <v>1058.2320434309793</v>
      </c>
    </row>
    <row r="67" spans="1:15" s="30" customFormat="1" ht="15" customHeight="1" x14ac:dyDescent="0.2">
      <c r="A67" s="147">
        <v>44652</v>
      </c>
      <c r="B67" s="148">
        <v>447.6563524338186</v>
      </c>
      <c r="C67" s="148">
        <v>68.125800183696242</v>
      </c>
      <c r="D67" s="148">
        <v>26.565703609778751</v>
      </c>
      <c r="E67" s="148">
        <v>58.500645984080194</v>
      </c>
      <c r="F67" s="148">
        <v>189.29052969192355</v>
      </c>
      <c r="G67" s="148">
        <v>80.443004526039914</v>
      </c>
      <c r="H67" s="148">
        <v>3.1487339829276446</v>
      </c>
      <c r="I67" s="148">
        <v>34.036924293232786</v>
      </c>
      <c r="J67" s="148">
        <v>21.43558845718951</v>
      </c>
      <c r="K67" s="148">
        <v>14.849450169734324</v>
      </c>
      <c r="L67" s="148">
        <v>23.765972018567471</v>
      </c>
      <c r="M67" s="148">
        <v>1.9183838049288693</v>
      </c>
      <c r="N67" s="148">
        <v>1.1689558365193693</v>
      </c>
      <c r="O67" s="148">
        <v>970.90604499243716</v>
      </c>
    </row>
    <row r="68" spans="1:15" s="30" customFormat="1" ht="15" customHeight="1" x14ac:dyDescent="0.2">
      <c r="A68" s="147">
        <v>44682</v>
      </c>
      <c r="B68" s="148">
        <v>483.87678648461156</v>
      </c>
      <c r="C68" s="148">
        <v>73.999772089407955</v>
      </c>
      <c r="D68" s="148">
        <v>39.043197009155229</v>
      </c>
      <c r="E68" s="148">
        <v>53.046191429276824</v>
      </c>
      <c r="F68" s="148">
        <v>204.18440180086318</v>
      </c>
      <c r="G68" s="148">
        <v>93.688830486517205</v>
      </c>
      <c r="H68" s="148">
        <v>2.6941532767406162</v>
      </c>
      <c r="I68" s="148">
        <v>36.526292888206626</v>
      </c>
      <c r="J68" s="148">
        <v>21.072630313228711</v>
      </c>
      <c r="K68" s="148">
        <v>17.708446925522164</v>
      </c>
      <c r="L68" s="148">
        <v>19.247355525590702</v>
      </c>
      <c r="M68" s="148">
        <v>1.8591989251655574</v>
      </c>
      <c r="N68" s="148">
        <v>1.3535017231337891</v>
      </c>
      <c r="O68" s="148">
        <v>1048.3007588774201</v>
      </c>
    </row>
    <row r="69" spans="1:15" s="30" customFormat="1" ht="15" customHeight="1" x14ac:dyDescent="0.2">
      <c r="A69" s="147">
        <v>44713</v>
      </c>
      <c r="B69" s="148">
        <v>568.75573217840849</v>
      </c>
      <c r="C69" s="148">
        <v>99.537630820102436</v>
      </c>
      <c r="D69" s="148">
        <v>36.100502501588281</v>
      </c>
      <c r="E69" s="148">
        <v>54.245538055084516</v>
      </c>
      <c r="F69" s="148">
        <v>232.59636656999118</v>
      </c>
      <c r="G69" s="148">
        <v>116.47800611143373</v>
      </c>
      <c r="H69" s="148">
        <v>2.809786593930538</v>
      </c>
      <c r="I69" s="148">
        <v>40.521760229489665</v>
      </c>
      <c r="J69" s="148">
        <v>31.749877760221718</v>
      </c>
      <c r="K69" s="148">
        <v>18.061945704397147</v>
      </c>
      <c r="L69" s="148">
        <v>41.894641716642219</v>
      </c>
      <c r="M69" s="148">
        <v>2.8890960568816362</v>
      </c>
      <c r="N69" s="148">
        <v>3.1319743184320479</v>
      </c>
      <c r="O69" s="148">
        <v>1248.7728586166036</v>
      </c>
    </row>
    <row r="70" spans="1:15" s="30" customFormat="1" ht="15" customHeight="1" x14ac:dyDescent="0.2">
      <c r="A70" s="147">
        <v>44743</v>
      </c>
      <c r="B70" s="148">
        <v>551.44654294149404</v>
      </c>
      <c r="C70" s="148">
        <v>86.354277215436809</v>
      </c>
      <c r="D70" s="148">
        <v>44.064924841603762</v>
      </c>
      <c r="E70" s="148">
        <v>32.238802614684182</v>
      </c>
      <c r="F70" s="148">
        <v>219.08715799822878</v>
      </c>
      <c r="G70" s="148">
        <v>117.52638254962142</v>
      </c>
      <c r="H70" s="148">
        <v>2.8899369444712315</v>
      </c>
      <c r="I70" s="148">
        <v>33.052689507427004</v>
      </c>
      <c r="J70" s="148">
        <v>33.816112911378092</v>
      </c>
      <c r="K70" s="148">
        <v>15.741222041364205</v>
      </c>
      <c r="L70" s="148">
        <v>25.276216629479009</v>
      </c>
      <c r="M70" s="148">
        <v>1.5514554202538071</v>
      </c>
      <c r="N70" s="148">
        <v>1.5528232028827582</v>
      </c>
      <c r="O70" s="148">
        <v>1164.5985448183251</v>
      </c>
    </row>
    <row r="71" spans="1:15" s="30" customFormat="1" ht="15" customHeight="1" x14ac:dyDescent="0.2">
      <c r="A71" s="147">
        <v>44774</v>
      </c>
      <c r="B71" s="148">
        <v>566.9152152378557</v>
      </c>
      <c r="C71" s="148">
        <v>96.581480544368219</v>
      </c>
      <c r="D71" s="148">
        <v>44.303329370800817</v>
      </c>
      <c r="E71" s="148">
        <v>32.282575120440782</v>
      </c>
      <c r="F71" s="148">
        <v>226.20203100679433</v>
      </c>
      <c r="G71" s="148">
        <v>124.40623101272222</v>
      </c>
      <c r="H71" s="148">
        <v>3.2487804762515502</v>
      </c>
      <c r="I71" s="148">
        <v>35.458773215829552</v>
      </c>
      <c r="J71" s="148">
        <v>40.101970435871856</v>
      </c>
      <c r="K71" s="148">
        <v>20.487650886444616</v>
      </c>
      <c r="L71" s="148">
        <v>30.539004588110249</v>
      </c>
      <c r="M71" s="148">
        <v>2.4642155018458536</v>
      </c>
      <c r="N71" s="148">
        <v>2.3793572462808359</v>
      </c>
      <c r="O71" s="148">
        <v>1225.3706146436166</v>
      </c>
    </row>
    <row r="72" spans="1:15" s="30" customFormat="1" ht="15" customHeight="1" x14ac:dyDescent="0.2">
      <c r="A72" s="147">
        <v>44805</v>
      </c>
      <c r="B72" s="148">
        <v>481.54566803428202</v>
      </c>
      <c r="C72" s="148">
        <v>78.864214885041392</v>
      </c>
      <c r="D72" s="148">
        <v>47.919743800859003</v>
      </c>
      <c r="E72" s="148">
        <v>30.033600148215481</v>
      </c>
      <c r="F72" s="148">
        <v>205.37810575894113</v>
      </c>
      <c r="G72" s="148">
        <v>117.81479855268989</v>
      </c>
      <c r="H72" s="148">
        <v>3.3151026898090583</v>
      </c>
      <c r="I72" s="148">
        <v>29.666166474328513</v>
      </c>
      <c r="J72" s="148">
        <v>40.556996089216206</v>
      </c>
      <c r="K72" s="148">
        <v>18.567725947658634</v>
      </c>
      <c r="L72" s="148">
        <v>21.304560127886933</v>
      </c>
      <c r="M72" s="148">
        <v>3.021980608340467</v>
      </c>
      <c r="N72" s="148">
        <v>1.8412353904407759</v>
      </c>
      <c r="O72" s="148">
        <v>1079.8298985077095</v>
      </c>
    </row>
    <row r="73" spans="1:15" s="30" customFormat="1" ht="15" customHeight="1" x14ac:dyDescent="0.2">
      <c r="A73" s="147">
        <v>44835</v>
      </c>
      <c r="B73" s="148">
        <v>443.54354163201606</v>
      </c>
      <c r="C73" s="148">
        <v>82.91898242151143</v>
      </c>
      <c r="D73" s="148">
        <v>42.531386046886524</v>
      </c>
      <c r="E73" s="148">
        <v>37.824112586015346</v>
      </c>
      <c r="F73" s="148">
        <v>214.09151822505601</v>
      </c>
      <c r="G73" s="148">
        <v>108.70496925223958</v>
      </c>
      <c r="H73" s="148">
        <v>3.3865310242314162</v>
      </c>
      <c r="I73" s="148">
        <v>37.85805751588056</v>
      </c>
      <c r="J73" s="148">
        <v>36.368447956813249</v>
      </c>
      <c r="K73" s="148">
        <v>15.012410780276053</v>
      </c>
      <c r="L73" s="148">
        <v>24.244802325991252</v>
      </c>
      <c r="M73" s="148">
        <v>3.1926461413570872</v>
      </c>
      <c r="N73" s="148">
        <v>1.8864436247003629</v>
      </c>
      <c r="O73" s="148">
        <v>1051.5638495329749</v>
      </c>
    </row>
    <row r="74" spans="1:15" s="30" customFormat="1" ht="15" customHeight="1" x14ac:dyDescent="0.2">
      <c r="A74" s="147">
        <v>44866</v>
      </c>
      <c r="B74" s="148">
        <v>449.78636966763349</v>
      </c>
      <c r="C74" s="148">
        <v>67.735007264842011</v>
      </c>
      <c r="D74" s="148">
        <v>36.198142462724121</v>
      </c>
      <c r="E74" s="148">
        <v>40.937401572543962</v>
      </c>
      <c r="F74" s="148">
        <v>197.37824044975986</v>
      </c>
      <c r="G74" s="148">
        <v>105.671949558881</v>
      </c>
      <c r="H74" s="148">
        <v>2.0161005960472655</v>
      </c>
      <c r="I74" s="148">
        <v>23.641050922689974</v>
      </c>
      <c r="J74" s="148">
        <v>26.952873954991002</v>
      </c>
      <c r="K74" s="148">
        <v>13.955251867119435</v>
      </c>
      <c r="L74" s="148">
        <v>27.023715873129444</v>
      </c>
      <c r="M74" s="148">
        <v>1.7241021150596874</v>
      </c>
      <c r="N74" s="148">
        <v>2.3104702994544857</v>
      </c>
      <c r="O74" s="148">
        <v>995.33067660487575</v>
      </c>
    </row>
    <row r="75" spans="1:15" s="30" customFormat="1" ht="15" customHeight="1" x14ac:dyDescent="0.2">
      <c r="A75" s="147">
        <v>44896</v>
      </c>
      <c r="B75" s="148">
        <v>481.50389275734574</v>
      </c>
      <c r="C75" s="148">
        <v>71.247028101811523</v>
      </c>
      <c r="D75" s="148">
        <v>35.283595369295206</v>
      </c>
      <c r="E75" s="148">
        <v>49.398623370910471</v>
      </c>
      <c r="F75" s="148">
        <v>203.42243765647152</v>
      </c>
      <c r="G75" s="148">
        <v>107.29784944152138</v>
      </c>
      <c r="H75" s="148">
        <v>3.2260861695999505</v>
      </c>
      <c r="I75" s="148">
        <v>24.798746575938445</v>
      </c>
      <c r="J75" s="148">
        <v>31.339416843904647</v>
      </c>
      <c r="K75" s="148">
        <v>10.901164682078569</v>
      </c>
      <c r="L75" s="148">
        <v>25.866174060730486</v>
      </c>
      <c r="M75" s="148">
        <v>20.940031467772791</v>
      </c>
      <c r="N75" s="148">
        <v>2.3677966776551571</v>
      </c>
      <c r="O75" s="148">
        <v>1067.5928431750358</v>
      </c>
    </row>
    <row r="76" spans="1:15" s="30" customFormat="1" ht="15" customHeight="1" x14ac:dyDescent="0.2">
      <c r="A76" s="149">
        <v>44927</v>
      </c>
      <c r="B76" s="146">
        <v>424.40024417613898</v>
      </c>
      <c r="C76" s="146">
        <v>72.665770768285</v>
      </c>
      <c r="D76" s="146">
        <v>54.112908720560618</v>
      </c>
      <c r="E76" s="146">
        <v>46.428529331707267</v>
      </c>
      <c r="F76" s="146">
        <v>183.65263406993171</v>
      </c>
      <c r="G76" s="146">
        <v>99.562243829582471</v>
      </c>
      <c r="H76" s="146">
        <v>3.1959212251547089</v>
      </c>
      <c r="I76" s="146">
        <v>21.971276040028386</v>
      </c>
      <c r="J76" s="146">
        <v>34.084575200566853</v>
      </c>
      <c r="K76" s="146">
        <v>8.0812301599126766</v>
      </c>
      <c r="L76" s="146">
        <v>24.06701127798803</v>
      </c>
      <c r="M76" s="146">
        <v>3.6273488257361288</v>
      </c>
      <c r="N76" s="146">
        <v>2.3195206482594193</v>
      </c>
      <c r="O76" s="146">
        <v>978.16921427385216</v>
      </c>
    </row>
    <row r="77" spans="1:15" s="30" customFormat="1" ht="15" customHeight="1" x14ac:dyDescent="0.2">
      <c r="A77" s="149">
        <v>44958</v>
      </c>
      <c r="B77" s="146">
        <v>431.31225394127682</v>
      </c>
      <c r="C77" s="146">
        <v>72.698858230062385</v>
      </c>
      <c r="D77" s="146">
        <v>32.491367117653461</v>
      </c>
      <c r="E77" s="146">
        <v>44.416998932936274</v>
      </c>
      <c r="F77" s="146">
        <v>196.13408239096105</v>
      </c>
      <c r="G77" s="146">
        <v>104.56419654474902</v>
      </c>
      <c r="H77" s="146">
        <v>3.8741217332833116</v>
      </c>
      <c r="I77" s="146">
        <v>25.017069619969909</v>
      </c>
      <c r="J77" s="146">
        <v>34.214141101938637</v>
      </c>
      <c r="K77" s="146">
        <v>8.8634118255157937</v>
      </c>
      <c r="L77" s="146">
        <v>24.697285799689812</v>
      </c>
      <c r="M77" s="146">
        <v>1.6067726173459831</v>
      </c>
      <c r="N77" s="146">
        <v>2.0697280708201462</v>
      </c>
      <c r="O77" s="146">
        <v>981.96028792620268</v>
      </c>
    </row>
    <row r="78" spans="1:15" s="30" customFormat="1" ht="15" customHeight="1" x14ac:dyDescent="0.2">
      <c r="A78" s="149">
        <v>44986</v>
      </c>
      <c r="B78" s="146">
        <v>417.23886477986372</v>
      </c>
      <c r="C78" s="146">
        <v>87.478549629117467</v>
      </c>
      <c r="D78" s="146">
        <v>51.080875897385781</v>
      </c>
      <c r="E78" s="146">
        <v>39.32483309009222</v>
      </c>
      <c r="F78" s="146">
        <v>221.24533215831781</v>
      </c>
      <c r="G78" s="146">
        <v>110.1484688177317</v>
      </c>
      <c r="H78" s="146">
        <v>3.7247535639718103</v>
      </c>
      <c r="I78" s="146">
        <v>28.772448243532281</v>
      </c>
      <c r="J78" s="146">
        <v>32.350053388630073</v>
      </c>
      <c r="K78" s="146">
        <v>9.1629055858954462</v>
      </c>
      <c r="L78" s="146">
        <v>31.862671987116311</v>
      </c>
      <c r="M78" s="146">
        <v>2.4683701807959366</v>
      </c>
      <c r="N78" s="146">
        <v>2.5964745293141007</v>
      </c>
      <c r="O78" s="146">
        <v>1037.4546018517647</v>
      </c>
    </row>
    <row r="79" spans="1:15" s="30" customFormat="1" ht="15" customHeight="1" x14ac:dyDescent="0.2">
      <c r="A79" s="149">
        <v>45017</v>
      </c>
      <c r="B79" s="146">
        <v>343.79746030170708</v>
      </c>
      <c r="C79" s="146">
        <v>53.238749609550489</v>
      </c>
      <c r="D79" s="146">
        <v>34.839112189864856</v>
      </c>
      <c r="E79" s="146">
        <v>38.522996123456323</v>
      </c>
      <c r="F79" s="146">
        <v>190.48454874303258</v>
      </c>
      <c r="G79" s="146">
        <v>93.390144183204512</v>
      </c>
      <c r="H79" s="146">
        <v>2.1523204585588398</v>
      </c>
      <c r="I79" s="146">
        <v>25.412718545947349</v>
      </c>
      <c r="J79" s="146">
        <v>20.621014742502435</v>
      </c>
      <c r="K79" s="146">
        <v>13.528748729094618</v>
      </c>
      <c r="L79" s="146">
        <v>28.943842048083468</v>
      </c>
      <c r="M79" s="146">
        <v>1.4142892356647474</v>
      </c>
      <c r="N79" s="146">
        <v>2.2647386446082498</v>
      </c>
      <c r="O79" s="146">
        <v>848.6106835552755</v>
      </c>
    </row>
    <row r="80" spans="1:15" s="30" customFormat="1" ht="15" customHeight="1" x14ac:dyDescent="0.2">
      <c r="A80" s="149">
        <v>45047</v>
      </c>
      <c r="B80" s="146">
        <v>413.85538750963605</v>
      </c>
      <c r="C80" s="146">
        <v>74.383293832712312</v>
      </c>
      <c r="D80" s="146">
        <v>43.918508155727615</v>
      </c>
      <c r="E80" s="146">
        <v>39.125896545578037</v>
      </c>
      <c r="F80" s="146">
        <v>218.39271594792302</v>
      </c>
      <c r="G80" s="146">
        <v>116.32995826722581</v>
      </c>
      <c r="H80" s="146">
        <v>2.4610252708326148</v>
      </c>
      <c r="I80" s="146">
        <v>31.400596252497472</v>
      </c>
      <c r="J80" s="146">
        <v>26.978476673139589</v>
      </c>
      <c r="K80" s="146">
        <v>20.815598775357159</v>
      </c>
      <c r="L80" s="146">
        <v>27.666157831391725</v>
      </c>
      <c r="M80" s="146">
        <v>1.6633140575031458</v>
      </c>
      <c r="N80" s="146">
        <v>2.4973519645581179</v>
      </c>
      <c r="O80" s="146">
        <v>1019.4882810840827</v>
      </c>
    </row>
    <row r="81" spans="1:15" s="30" customFormat="1" ht="15" customHeight="1" x14ac:dyDescent="0.2">
      <c r="A81" s="149">
        <v>45078</v>
      </c>
      <c r="B81" s="146">
        <v>429.95743696167978</v>
      </c>
      <c r="C81" s="146">
        <v>72.134403474460044</v>
      </c>
      <c r="D81" s="146">
        <v>52.391984582050398</v>
      </c>
      <c r="E81" s="146">
        <v>39.382672962350554</v>
      </c>
      <c r="F81" s="146">
        <v>196.92714866700373</v>
      </c>
      <c r="G81" s="146">
        <v>111.52511839227886</v>
      </c>
      <c r="H81" s="146">
        <v>1.7716811358382691</v>
      </c>
      <c r="I81" s="146">
        <v>28.464586475125238</v>
      </c>
      <c r="J81" s="146">
        <v>27.750402013269547</v>
      </c>
      <c r="K81" s="146">
        <v>19.824301297345958</v>
      </c>
      <c r="L81" s="146">
        <v>21.998251205266392</v>
      </c>
      <c r="M81" s="146">
        <v>1.1045513229051733</v>
      </c>
      <c r="N81" s="146">
        <v>2.1106217660955267</v>
      </c>
      <c r="O81" s="146">
        <v>1005.3431602556694</v>
      </c>
    </row>
    <row r="82" spans="1:15" s="30" customFormat="1" ht="15" customHeight="1" x14ac:dyDescent="0.2">
      <c r="A82" s="149">
        <v>45108</v>
      </c>
      <c r="B82" s="146">
        <v>428.90518240923694</v>
      </c>
      <c r="C82" s="146">
        <v>77.31089513211019</v>
      </c>
      <c r="D82" s="146">
        <v>36.648012149758387</v>
      </c>
      <c r="E82" s="146">
        <v>37.833753711817351</v>
      </c>
      <c r="F82" s="146">
        <v>205.22770753762336</v>
      </c>
      <c r="G82" s="146">
        <v>115.20040175977786</v>
      </c>
      <c r="H82" s="146">
        <v>2.0085562981399687</v>
      </c>
      <c r="I82" s="146">
        <v>31.160352707238523</v>
      </c>
      <c r="J82" s="146">
        <v>37.231991181692649</v>
      </c>
      <c r="K82" s="146">
        <v>22.761476104974061</v>
      </c>
      <c r="L82" s="146">
        <v>22.407536251492765</v>
      </c>
      <c r="M82" s="146">
        <v>1.7916577672419112</v>
      </c>
      <c r="N82" s="146">
        <v>1.9493211726130153</v>
      </c>
      <c r="O82" s="146">
        <v>1020.4368441837171</v>
      </c>
    </row>
    <row r="83" spans="1:15" s="30" customFormat="1" ht="15" customHeight="1" x14ac:dyDescent="0.2">
      <c r="A83" s="149">
        <v>45139</v>
      </c>
      <c r="B83" s="146">
        <v>436.24022378818842</v>
      </c>
      <c r="C83" s="146">
        <v>78.155152654237071</v>
      </c>
      <c r="D83" s="146">
        <v>47.498509024791616</v>
      </c>
      <c r="E83" s="146">
        <v>40.619078330351414</v>
      </c>
      <c r="F83" s="146">
        <v>269.16285478971724</v>
      </c>
      <c r="G83" s="146">
        <v>119.63348084623125</v>
      </c>
      <c r="H83" s="146">
        <v>2.0178574049588218</v>
      </c>
      <c r="I83" s="146">
        <v>31.814686466419801</v>
      </c>
      <c r="J83" s="146">
        <v>47.39188480871109</v>
      </c>
      <c r="K83" s="146">
        <v>20.23848093019264</v>
      </c>
      <c r="L83" s="146">
        <v>21.789786535952267</v>
      </c>
      <c r="M83" s="146">
        <v>1.9922241775204899</v>
      </c>
      <c r="N83" s="146">
        <v>2.0908293301374608</v>
      </c>
      <c r="O83" s="146">
        <v>1118.6450490874095</v>
      </c>
    </row>
    <row r="84" spans="1:15" s="30" customFormat="1" ht="15" customHeight="1" x14ac:dyDescent="0.2">
      <c r="A84" s="149">
        <v>45170</v>
      </c>
      <c r="B84" s="146">
        <v>362.95373822107615</v>
      </c>
      <c r="C84" s="146">
        <v>80.568468296086394</v>
      </c>
      <c r="D84" s="146">
        <v>41.26891701115936</v>
      </c>
      <c r="E84" s="146">
        <v>45.909759169910473</v>
      </c>
      <c r="F84" s="146">
        <v>193.76720066933271</v>
      </c>
      <c r="G84" s="146">
        <v>119.957472055118</v>
      </c>
      <c r="H84" s="146">
        <v>2.3209331897426426</v>
      </c>
      <c r="I84" s="146">
        <v>32.407144003472446</v>
      </c>
      <c r="J84" s="146">
        <v>37.848385868792356</v>
      </c>
      <c r="K84" s="146">
        <v>20.200153694914604</v>
      </c>
      <c r="L84" s="146">
        <v>29.779794165678087</v>
      </c>
      <c r="M84" s="146">
        <v>2.2818544297738357</v>
      </c>
      <c r="N84" s="146">
        <v>2.6455205250313099</v>
      </c>
      <c r="O84" s="146">
        <v>971.90934130008839</v>
      </c>
    </row>
    <row r="85" spans="1:15" s="30" customFormat="1" ht="15" customHeight="1" x14ac:dyDescent="0.2">
      <c r="A85" s="149">
        <v>45200</v>
      </c>
      <c r="B85" s="146">
        <v>354.1737194927606</v>
      </c>
      <c r="C85" s="146">
        <v>78.195318903102049</v>
      </c>
      <c r="D85" s="146">
        <v>45.330185100774401</v>
      </c>
      <c r="E85" s="146">
        <v>51.5536147255809</v>
      </c>
      <c r="F85" s="146">
        <v>194.10286822018162</v>
      </c>
      <c r="G85" s="146">
        <v>95.633478428098641</v>
      </c>
      <c r="H85" s="146">
        <v>1.5101480767270563</v>
      </c>
      <c r="I85" s="146">
        <v>28.491966330213103</v>
      </c>
      <c r="J85" s="146">
        <v>32.240516856603776</v>
      </c>
      <c r="K85" s="146">
        <v>16.903290604541677</v>
      </c>
      <c r="L85" s="146">
        <v>24.94412188206644</v>
      </c>
      <c r="M85" s="146">
        <v>2.3525526259791585</v>
      </c>
      <c r="N85" s="146">
        <v>2.527678261006101</v>
      </c>
      <c r="O85" s="146">
        <v>927.95945950763553</v>
      </c>
    </row>
    <row r="86" spans="1:15" s="30" customFormat="1" ht="15" customHeight="1" x14ac:dyDescent="0.2">
      <c r="A86" s="149">
        <v>45231</v>
      </c>
      <c r="B86" s="146">
        <v>396.19315122619952</v>
      </c>
      <c r="C86" s="146">
        <v>77.232205172886523</v>
      </c>
      <c r="D86" s="146">
        <v>35.890585994729626</v>
      </c>
      <c r="E86" s="146">
        <v>55.175388411609283</v>
      </c>
      <c r="F86" s="146">
        <v>200.86669088194969</v>
      </c>
      <c r="G86" s="146">
        <v>112.82614167555217</v>
      </c>
      <c r="H86" s="146">
        <v>1.510660779893374</v>
      </c>
      <c r="I86" s="146">
        <v>28.703507625285603</v>
      </c>
      <c r="J86" s="146">
        <v>30.875844834729627</v>
      </c>
      <c r="K86" s="146">
        <v>11.210768140137091</v>
      </c>
      <c r="L86" s="146">
        <v>29.669280027418125</v>
      </c>
      <c r="M86" s="146">
        <v>16.188048152322928</v>
      </c>
      <c r="N86" s="146">
        <v>2.6303764508757226</v>
      </c>
      <c r="O86" s="146">
        <v>998.97264937358932</v>
      </c>
    </row>
    <row r="87" spans="1:15" s="30" customFormat="1" ht="15" customHeight="1" x14ac:dyDescent="0.2">
      <c r="A87" s="149">
        <v>45261</v>
      </c>
      <c r="B87" s="146">
        <v>439.90382106020553</v>
      </c>
      <c r="C87" s="146">
        <v>78.130277757119302</v>
      </c>
      <c r="D87" s="146">
        <v>24.489328223067538</v>
      </c>
      <c r="E87" s="146">
        <v>61.080991584270841</v>
      </c>
      <c r="F87" s="146">
        <v>187.31177931354449</v>
      </c>
      <c r="G87" s="146">
        <v>111.11997492213283</v>
      </c>
      <c r="H87" s="146">
        <v>1.4873325920763856</v>
      </c>
      <c r="I87" s="146">
        <v>23.16424406634831</v>
      </c>
      <c r="J87" s="146">
        <v>31.267116354386928</v>
      </c>
      <c r="K87" s="146">
        <v>9.3501663727041162</v>
      </c>
      <c r="L87" s="146">
        <v>30.204235411209385</v>
      </c>
      <c r="M87" s="146">
        <v>1.9596580118337905</v>
      </c>
      <c r="N87" s="146">
        <v>2.2914246762664781</v>
      </c>
      <c r="O87" s="146">
        <v>1001.7603503451659</v>
      </c>
    </row>
    <row r="88" spans="1:15" s="30" customFormat="1" ht="15" customHeight="1" x14ac:dyDescent="0.2">
      <c r="A88" s="10" t="s">
        <v>347</v>
      </c>
      <c r="B88" s="148">
        <v>381.15123926660783</v>
      </c>
      <c r="C88" s="148">
        <v>80.041722863176147</v>
      </c>
      <c r="D88" s="148">
        <v>48.184442474342291</v>
      </c>
      <c r="E88" s="148">
        <v>85.871820035011424</v>
      </c>
      <c r="F88" s="148">
        <v>176.23259127703454</v>
      </c>
      <c r="G88" s="148">
        <v>102.17857693076515</v>
      </c>
      <c r="H88" s="148">
        <v>1.6817214620516323</v>
      </c>
      <c r="I88" s="148">
        <v>24.828087872924854</v>
      </c>
      <c r="J88" s="148">
        <v>27.896876479353963</v>
      </c>
      <c r="K88" s="148">
        <v>12.261905681902391</v>
      </c>
      <c r="L88" s="148">
        <v>26.643324756375584</v>
      </c>
      <c r="M88" s="148">
        <v>1.4451726901528346</v>
      </c>
      <c r="N88" s="148">
        <v>2.3064780119975792</v>
      </c>
      <c r="O88" s="148">
        <v>970.72395980169608</v>
      </c>
    </row>
    <row r="89" spans="1:15" s="30" customFormat="1" ht="15" customHeight="1" x14ac:dyDescent="0.2">
      <c r="A89" s="10" t="s">
        <v>348</v>
      </c>
      <c r="B89" s="148">
        <v>422.27426345119221</v>
      </c>
      <c r="C89" s="148">
        <v>86.402880237737463</v>
      </c>
      <c r="D89" s="148">
        <v>30.874036222395478</v>
      </c>
      <c r="E89" s="148">
        <v>91.432339166048493</v>
      </c>
      <c r="F89" s="148">
        <v>202.66580519041361</v>
      </c>
      <c r="G89" s="148">
        <v>127.7315524820678</v>
      </c>
      <c r="H89" s="148">
        <v>2.3362107664563418</v>
      </c>
      <c r="I89" s="148">
        <v>32.675601837736949</v>
      </c>
      <c r="J89" s="148">
        <v>22.121360380907166</v>
      </c>
      <c r="K89" s="148">
        <v>13.059963273413759</v>
      </c>
      <c r="L89" s="148">
        <v>23.982928388595436</v>
      </c>
      <c r="M89" s="148">
        <v>1.872860802719047</v>
      </c>
      <c r="N89" s="148">
        <v>1.8887601002111429</v>
      </c>
      <c r="O89" s="148">
        <v>1059.3185622998949</v>
      </c>
    </row>
    <row r="90" spans="1:15" s="30" customFormat="1" ht="15" customHeight="1" x14ac:dyDescent="0.2">
      <c r="A90" s="10" t="s">
        <v>349</v>
      </c>
      <c r="B90" s="148">
        <v>444.91535409026227</v>
      </c>
      <c r="C90" s="148">
        <v>95.306303626519224</v>
      </c>
      <c r="D90" s="148">
        <v>33.883853248556427</v>
      </c>
      <c r="E90" s="148">
        <v>101.86661883143705</v>
      </c>
      <c r="F90" s="148">
        <v>245.77992990692434</v>
      </c>
      <c r="G90" s="148">
        <v>124.85960872850997</v>
      </c>
      <c r="H90" s="148">
        <v>2.668317396496164</v>
      </c>
      <c r="I90" s="148">
        <v>38.057728932000721</v>
      </c>
      <c r="J90" s="148">
        <v>16.790341831743902</v>
      </c>
      <c r="K90" s="148">
        <v>14.810848916297253</v>
      </c>
      <c r="L90" s="148">
        <v>24.705161984525546</v>
      </c>
      <c r="M90" s="148">
        <v>2.8148551126232966</v>
      </c>
      <c r="N90" s="148">
        <v>2.0222852567350977</v>
      </c>
      <c r="O90" s="148">
        <v>1148.4812078626312</v>
      </c>
    </row>
    <row r="91" spans="1:15" s="30" customFormat="1" ht="15" customHeight="1" x14ac:dyDescent="0.2">
      <c r="A91" s="10" t="s">
        <v>350</v>
      </c>
      <c r="B91" s="148">
        <v>321.67451958298483</v>
      </c>
      <c r="C91" s="148">
        <v>65.142724765482441</v>
      </c>
      <c r="D91" s="148">
        <v>29.756654246564725</v>
      </c>
      <c r="E91" s="148">
        <v>90.582955099259962</v>
      </c>
      <c r="F91" s="148">
        <v>176.06251041335474</v>
      </c>
      <c r="G91" s="148">
        <v>95.464113485528173</v>
      </c>
      <c r="H91" s="148">
        <v>1.4474552840260875</v>
      </c>
      <c r="I91" s="148">
        <v>30.03777718293038</v>
      </c>
      <c r="J91" s="148">
        <v>17.88385872237021</v>
      </c>
      <c r="K91" s="148">
        <v>12.770551446915269</v>
      </c>
      <c r="L91" s="148">
        <v>31.54277901645564</v>
      </c>
      <c r="M91" s="148">
        <v>2.2635345858303566</v>
      </c>
      <c r="N91" s="148">
        <v>2.9493054279027007</v>
      </c>
      <c r="O91" s="148">
        <v>877.57873925960553</v>
      </c>
    </row>
    <row r="92" spans="1:15" s="30" customFormat="1" ht="15" customHeight="1" x14ac:dyDescent="0.2">
      <c r="A92" s="10" t="s">
        <v>351</v>
      </c>
      <c r="B92" s="148">
        <v>390.93934169479832</v>
      </c>
      <c r="C92" s="148">
        <v>79.261673226172306</v>
      </c>
      <c r="D92" s="148">
        <v>40.207995753611293</v>
      </c>
      <c r="E92" s="148">
        <v>90.611735573461118</v>
      </c>
      <c r="F92" s="148">
        <v>195.71592452658953</v>
      </c>
      <c r="G92" s="148">
        <v>115.030221186864</v>
      </c>
      <c r="H92" s="148">
        <v>1.9170980902745915</v>
      </c>
      <c r="I92" s="148">
        <v>32.572578731585693</v>
      </c>
      <c r="J92" s="148">
        <v>25.124671124349874</v>
      </c>
      <c r="K92" s="148">
        <v>13.636957612858255</v>
      </c>
      <c r="L92" s="148">
        <v>22.30108727518191</v>
      </c>
      <c r="M92" s="148">
        <v>1.7804708863057208</v>
      </c>
      <c r="N92" s="148">
        <v>2.1549380681452428</v>
      </c>
      <c r="O92" s="148">
        <v>1011.2546937501978</v>
      </c>
    </row>
    <row r="93" spans="1:15" s="30" customFormat="1" ht="15" customHeight="1" x14ac:dyDescent="0.2">
      <c r="A93" s="10" t="s">
        <v>352</v>
      </c>
      <c r="B93" s="148">
        <v>447.18083885401541</v>
      </c>
      <c r="C93" s="148">
        <v>80.918623866528023</v>
      </c>
      <c r="D93" s="148">
        <v>29.851942845100641</v>
      </c>
      <c r="E93" s="148">
        <v>72.726181028302349</v>
      </c>
      <c r="F93" s="148">
        <v>199.65591035380078</v>
      </c>
      <c r="G93" s="148">
        <v>121.74634794335051</v>
      </c>
      <c r="H93" s="148">
        <v>1.7199522566744379</v>
      </c>
      <c r="I93" s="148">
        <v>32.9980213526716</v>
      </c>
      <c r="J93" s="148">
        <v>47.101395760735009</v>
      </c>
      <c r="K93" s="148">
        <v>13.411445610625778</v>
      </c>
      <c r="L93" s="148">
        <v>25.033024866356541</v>
      </c>
      <c r="M93" s="148">
        <v>2.1894682831921437</v>
      </c>
      <c r="N93" s="148">
        <v>2.4911541969529316</v>
      </c>
      <c r="O93" s="148">
        <v>1077.0243072183061</v>
      </c>
    </row>
    <row r="94" spans="1:15" s="30" customFormat="1" ht="15" customHeight="1" x14ac:dyDescent="0.2">
      <c r="A94" s="10" t="s">
        <v>353</v>
      </c>
      <c r="B94" s="148">
        <v>444.59454565985385</v>
      </c>
      <c r="C94" s="148">
        <v>74.924113454257181</v>
      </c>
      <c r="D94" s="148">
        <v>32.484866282103496</v>
      </c>
      <c r="E94" s="148">
        <v>93.391424902520058</v>
      </c>
      <c r="F94" s="148">
        <v>215.48221777091419</v>
      </c>
      <c r="G94" s="148">
        <v>124.70153574300943</v>
      </c>
      <c r="H94" s="148">
        <v>1.8705649305906487</v>
      </c>
      <c r="I94" s="148">
        <v>38.433851816540852</v>
      </c>
      <c r="J94" s="148">
        <v>60.811391307954842</v>
      </c>
      <c r="K94" s="148">
        <v>12.697376742311837</v>
      </c>
      <c r="L94" s="148">
        <v>26.371399966222878</v>
      </c>
      <c r="M94" s="148">
        <v>2.4372161758833326</v>
      </c>
      <c r="N94" s="148">
        <v>2.0790536941009523</v>
      </c>
      <c r="O94" s="148">
        <v>1130.2795584462635</v>
      </c>
    </row>
    <row r="95" spans="1:15" s="30" customFormat="1" ht="15" customHeight="1" x14ac:dyDescent="0.2">
      <c r="A95" s="10" t="s">
        <v>354</v>
      </c>
      <c r="B95" s="148">
        <v>512.08861140000465</v>
      </c>
      <c r="C95" s="148">
        <v>101.05706718001201</v>
      </c>
      <c r="D95" s="148">
        <v>36.898026303571086</v>
      </c>
      <c r="E95" s="148">
        <v>83.221667911076437</v>
      </c>
      <c r="F95" s="148">
        <v>234.52117925966934</v>
      </c>
      <c r="G95" s="148">
        <v>130.54485261665434</v>
      </c>
      <c r="H95" s="148">
        <v>2.7340412308181481</v>
      </c>
      <c r="I95" s="148">
        <v>42.571679249192556</v>
      </c>
      <c r="J95" s="148">
        <v>51.770880638231574</v>
      </c>
      <c r="K95" s="148">
        <v>12.32777843224577</v>
      </c>
      <c r="L95" s="148">
        <v>18.165685980198116</v>
      </c>
      <c r="M95" s="148">
        <v>3.9598582590848461</v>
      </c>
      <c r="N95" s="148">
        <v>1.8207745944615756</v>
      </c>
      <c r="O95" s="148">
        <v>1231.6821030552205</v>
      </c>
    </row>
    <row r="96" spans="1:15" s="30" customFormat="1" ht="15" customHeight="1" x14ac:dyDescent="0.2">
      <c r="A96" s="10" t="s">
        <v>355</v>
      </c>
      <c r="B96" s="148">
        <v>419.29571337919077</v>
      </c>
      <c r="C96" s="148">
        <v>77.166215994992541</v>
      </c>
      <c r="D96" s="148">
        <v>24.597081707850396</v>
      </c>
      <c r="E96" s="148">
        <v>74.357101800815229</v>
      </c>
      <c r="F96" s="148">
        <v>180.92626249001754</v>
      </c>
      <c r="G96" s="148">
        <v>117.03757195156575</v>
      </c>
      <c r="H96" s="148">
        <v>2.3109845675169058</v>
      </c>
      <c r="I96" s="148">
        <v>35.583752316532767</v>
      </c>
      <c r="J96" s="148">
        <v>46.698510176805286</v>
      </c>
      <c r="K96" s="148">
        <v>11.314830289174349</v>
      </c>
      <c r="L96" s="148">
        <v>19.313775241947134</v>
      </c>
      <c r="M96" s="148">
        <v>0.87499667774086376</v>
      </c>
      <c r="N96" s="148">
        <v>2.2604996604686001</v>
      </c>
      <c r="O96" s="148">
        <v>1011.7372962546182</v>
      </c>
    </row>
    <row r="97" spans="1:15" s="30" customFormat="1" ht="15" customHeight="1" x14ac:dyDescent="0.2">
      <c r="A97" s="10" t="s">
        <v>356</v>
      </c>
      <c r="B97" s="148">
        <v>431.32477881621639</v>
      </c>
      <c r="C97" s="148">
        <v>81.930270432367067</v>
      </c>
      <c r="D97" s="148">
        <v>30.932386695581226</v>
      </c>
      <c r="E97" s="148">
        <v>121.44267756685217</v>
      </c>
      <c r="F97" s="148">
        <v>234.60810732062299</v>
      </c>
      <c r="G97" s="148">
        <v>126.8143335179354</v>
      </c>
      <c r="H97" s="148">
        <v>2.7612233193582658</v>
      </c>
      <c r="I97" s="148">
        <v>40.065370748890942</v>
      </c>
      <c r="J97" s="148">
        <v>51.068643222546001</v>
      </c>
      <c r="K97" s="148">
        <v>11.491280544860853</v>
      </c>
      <c r="L97" s="148">
        <v>21.504874763900553</v>
      </c>
      <c r="M97" s="148">
        <v>1.8679552060332536</v>
      </c>
      <c r="N97" s="148">
        <v>2.1864382638875428</v>
      </c>
      <c r="O97" s="148">
        <v>1157.9983404190527</v>
      </c>
    </row>
    <row r="98" spans="1:15" s="30" customFormat="1" ht="15" customHeight="1" x14ac:dyDescent="0.2">
      <c r="A98" s="10" t="s">
        <v>357</v>
      </c>
      <c r="B98" s="148">
        <v>398.00499527069695</v>
      </c>
      <c r="C98" s="148">
        <v>75.072006902522247</v>
      </c>
      <c r="D98" s="148">
        <v>27.875453282499318</v>
      </c>
      <c r="E98" s="148">
        <v>70.044153126060877</v>
      </c>
      <c r="F98" s="148">
        <v>191.91831879612002</v>
      </c>
      <c r="G98" s="148">
        <v>118.15083166900222</v>
      </c>
      <c r="H98" s="148">
        <v>2.1283901500363687</v>
      </c>
      <c r="I98" s="148">
        <v>32.714983887493958</v>
      </c>
      <c r="J98" s="148">
        <v>40.668031092855976</v>
      </c>
      <c r="K98" s="148">
        <v>13.023619632532126</v>
      </c>
      <c r="L98" s="148">
        <v>21.264993811838806</v>
      </c>
      <c r="M98" s="148">
        <v>1.4628406091314932</v>
      </c>
      <c r="N98" s="148">
        <v>1.8188341086512279</v>
      </c>
      <c r="O98" s="148">
        <v>994.14745233944154</v>
      </c>
    </row>
    <row r="99" spans="1:15" s="30" customFormat="1" ht="15" customHeight="1" x14ac:dyDescent="0.2">
      <c r="A99" s="10" t="s">
        <v>358</v>
      </c>
      <c r="B99" s="148">
        <v>447.57841755962437</v>
      </c>
      <c r="C99" s="148">
        <v>78.348772249087617</v>
      </c>
      <c r="D99" s="148">
        <v>16.360472948757284</v>
      </c>
      <c r="E99" s="148">
        <v>87.901675645737399</v>
      </c>
      <c r="F99" s="148">
        <v>211.35426927751416</v>
      </c>
      <c r="G99" s="148">
        <v>131.60441989094232</v>
      </c>
      <c r="H99" s="148">
        <v>2.3893680654003266</v>
      </c>
      <c r="I99" s="148">
        <v>35.951774222136891</v>
      </c>
      <c r="J99" s="148">
        <v>46.734601990877003</v>
      </c>
      <c r="K99" s="148">
        <v>13.402856005115186</v>
      </c>
      <c r="L99" s="148">
        <v>26.427174476867666</v>
      </c>
      <c r="M99" s="148">
        <v>1.5588305731785295</v>
      </c>
      <c r="N99" s="148">
        <v>2.1543513021955323</v>
      </c>
      <c r="O99" s="148">
        <v>1101.7669842074342</v>
      </c>
    </row>
    <row r="100" spans="1:15" s="30" customFormat="1" ht="15" customHeight="1" x14ac:dyDescent="0.2">
      <c r="A100" s="11" t="s">
        <v>296</v>
      </c>
      <c r="B100" s="146">
        <v>461.3429398885001</v>
      </c>
      <c r="C100" s="146">
        <v>71.715061280385285</v>
      </c>
      <c r="D100" s="146">
        <v>37.713736429517759</v>
      </c>
      <c r="E100" s="146">
        <v>73.508492055793567</v>
      </c>
      <c r="F100" s="146">
        <v>184.03836234838576</v>
      </c>
      <c r="G100" s="146">
        <v>112.69513808851116</v>
      </c>
      <c r="H100" s="146">
        <v>3.3431168183088911</v>
      </c>
      <c r="I100" s="146">
        <v>35.057456725581368</v>
      </c>
      <c r="J100" s="146">
        <v>37.670439486716845</v>
      </c>
      <c r="K100" s="146">
        <v>11.776966857271736</v>
      </c>
      <c r="L100" s="146">
        <v>21.171309674940481</v>
      </c>
      <c r="M100" s="146">
        <v>1.0706712920133596</v>
      </c>
      <c r="N100" s="146">
        <v>1.6866943266856951</v>
      </c>
      <c r="O100" s="146">
        <v>1052.790385272612</v>
      </c>
    </row>
    <row r="101" spans="1:15" s="30" customFormat="1" ht="15" customHeight="1" x14ac:dyDescent="0.2">
      <c r="A101" s="11" t="s">
        <v>297</v>
      </c>
      <c r="B101" s="146">
        <v>428.31495380780677</v>
      </c>
      <c r="C101" s="146">
        <v>80.138433377110914</v>
      </c>
      <c r="D101" s="146">
        <v>27.675512521588363</v>
      </c>
      <c r="E101" s="146">
        <v>81.111435968009758</v>
      </c>
      <c r="F101" s="146">
        <v>204.17983353627369</v>
      </c>
      <c r="G101" s="146">
        <v>119.41365371151409</v>
      </c>
      <c r="H101" s="146">
        <v>2.9859258788814413</v>
      </c>
      <c r="I101" s="146">
        <v>41.569876133494425</v>
      </c>
      <c r="J101" s="146">
        <v>37.861069172388184</v>
      </c>
      <c r="K101" s="146">
        <v>10.022709433247732</v>
      </c>
      <c r="L101" s="146">
        <v>17.394454598565936</v>
      </c>
      <c r="M101" s="146">
        <v>1.415294272235426</v>
      </c>
      <c r="N101" s="146">
        <v>0.84833544696573648</v>
      </c>
      <c r="O101" s="146">
        <v>1052.9314878580824</v>
      </c>
    </row>
    <row r="102" spans="1:15" s="30" customFormat="1" ht="15" customHeight="1" x14ac:dyDescent="0.2">
      <c r="A102" s="11" t="s">
        <v>298</v>
      </c>
      <c r="B102" s="146">
        <v>496.91050435437921</v>
      </c>
      <c r="C102" s="146">
        <v>90.264292782578423</v>
      </c>
      <c r="D102" s="146">
        <v>26.816151974221803</v>
      </c>
      <c r="E102" s="146">
        <v>104.38489251423573</v>
      </c>
      <c r="F102" s="146">
        <v>258.74161036332117</v>
      </c>
      <c r="G102" s="146">
        <v>138.83284839595956</v>
      </c>
      <c r="H102" s="146">
        <v>2.8307596625989748</v>
      </c>
      <c r="I102" s="146">
        <v>44.351582892037754</v>
      </c>
      <c r="J102" s="146">
        <v>41.407687789151396</v>
      </c>
      <c r="K102" s="146">
        <v>12.912118391127002</v>
      </c>
      <c r="L102" s="146">
        <v>19.98598160921096</v>
      </c>
      <c r="M102" s="146">
        <v>2.3699544758692705</v>
      </c>
      <c r="N102" s="146">
        <v>1.8824737706524606</v>
      </c>
      <c r="O102" s="146">
        <v>1241.6908589753436</v>
      </c>
    </row>
    <row r="103" spans="1:15" s="30" customFormat="1" ht="15" customHeight="1" x14ac:dyDescent="0.2">
      <c r="A103" s="11" t="s">
        <v>299</v>
      </c>
      <c r="B103" s="146">
        <v>365.27220629535537</v>
      </c>
      <c r="C103" s="146">
        <v>59.111353289036458</v>
      </c>
      <c r="D103" s="146">
        <v>30.74361522949695</v>
      </c>
      <c r="E103" s="146">
        <v>65.143433057058019</v>
      </c>
      <c r="F103" s="146">
        <v>225.77497458557099</v>
      </c>
      <c r="G103" s="146">
        <v>107.34586527639323</v>
      </c>
      <c r="H103" s="146">
        <v>2.0492845437930778</v>
      </c>
      <c r="I103" s="146">
        <v>34.065917488691298</v>
      </c>
      <c r="J103" s="146">
        <v>23.898596495106709</v>
      </c>
      <c r="K103" s="146">
        <v>17.218839461336035</v>
      </c>
      <c r="L103" s="146">
        <v>32.736368289143677</v>
      </c>
      <c r="M103" s="146">
        <v>1.5033876459143969</v>
      </c>
      <c r="N103" s="146">
        <v>3.3654448580247918</v>
      </c>
      <c r="O103" s="146">
        <v>968.229286514921</v>
      </c>
    </row>
    <row r="104" spans="1:15" ht="15" customHeight="1" x14ac:dyDescent="0.2">
      <c r="A104" s="11" t="s">
        <v>300</v>
      </c>
      <c r="B104" s="22">
        <v>389.87342095331479</v>
      </c>
      <c r="C104" s="22">
        <v>71.411452158915637</v>
      </c>
      <c r="D104" s="22">
        <v>34.296774884591315</v>
      </c>
      <c r="E104" s="22">
        <v>69.698632247272386</v>
      </c>
      <c r="F104" s="22">
        <v>222.56757377906581</v>
      </c>
      <c r="G104" s="22">
        <v>131.80683937167976</v>
      </c>
      <c r="H104" s="22">
        <v>2.1744668088554251</v>
      </c>
      <c r="I104" s="22">
        <v>43.086531750999114</v>
      </c>
      <c r="J104" s="22">
        <v>30.298833004580278</v>
      </c>
      <c r="K104" s="22">
        <v>18.769528489296768</v>
      </c>
      <c r="L104" s="22">
        <v>17.513363835115346</v>
      </c>
      <c r="M104" s="22">
        <v>2.2039546153789633</v>
      </c>
      <c r="N104" s="22">
        <v>0.94962661757563005</v>
      </c>
      <c r="O104" s="22">
        <v>1034.6509985166413</v>
      </c>
    </row>
    <row r="105" spans="1:15" ht="15" customHeight="1" x14ac:dyDescent="0.2">
      <c r="A105" s="11" t="s">
        <v>301</v>
      </c>
      <c r="B105" s="22">
        <v>464.11582239029229</v>
      </c>
      <c r="C105" s="22">
        <v>80.432273930698557</v>
      </c>
      <c r="D105" s="22">
        <v>31.633659171814468</v>
      </c>
      <c r="E105" s="22">
        <v>71.453453585466775</v>
      </c>
      <c r="F105" s="22">
        <v>236.14670549720705</v>
      </c>
      <c r="G105" s="22">
        <v>132.97734413043753</v>
      </c>
      <c r="H105" s="22">
        <v>1.3439500349114741</v>
      </c>
      <c r="I105" s="22">
        <v>50.55466009495121</v>
      </c>
      <c r="J105" s="22">
        <v>34.758373605458324</v>
      </c>
      <c r="K105" s="22">
        <v>15.850522655112647</v>
      </c>
      <c r="L105" s="22">
        <v>19.800012634152452</v>
      </c>
      <c r="M105" s="22">
        <v>1.5546779574886944</v>
      </c>
      <c r="N105" s="22">
        <v>1.209776246459354</v>
      </c>
      <c r="O105" s="22">
        <v>1141.8312319344509</v>
      </c>
    </row>
    <row r="106" spans="1:15" ht="15" customHeight="1" x14ac:dyDescent="0.2">
      <c r="A106" s="11" t="s">
        <v>363</v>
      </c>
      <c r="B106" s="22">
        <v>481.4221384808867</v>
      </c>
      <c r="C106" s="22">
        <v>81.692942165908335</v>
      </c>
      <c r="D106" s="22">
        <v>37.376406591952694</v>
      </c>
      <c r="E106" s="22">
        <v>115.13716942704309</v>
      </c>
      <c r="F106" s="22">
        <v>268.93421113124703</v>
      </c>
      <c r="G106" s="22">
        <v>141.01971031646008</v>
      </c>
      <c r="H106" s="22">
        <v>2.8714110042550902</v>
      </c>
      <c r="I106" s="22">
        <v>59.171107143722949</v>
      </c>
      <c r="J106" s="22">
        <v>35.809164324590355</v>
      </c>
      <c r="K106" s="22">
        <v>24.418280270070209</v>
      </c>
      <c r="L106" s="22">
        <v>46.85816601394059</v>
      </c>
      <c r="M106" s="22">
        <v>2.4874555138337757</v>
      </c>
      <c r="N106" s="22">
        <v>4.996246736784304</v>
      </c>
      <c r="O106" s="22">
        <v>1302.1944091206951</v>
      </c>
    </row>
    <row r="107" spans="1:15" ht="15" customHeight="1" x14ac:dyDescent="0.2">
      <c r="A107" s="11" t="s">
        <v>364</v>
      </c>
      <c r="B107" s="22">
        <v>508.08340489921528</v>
      </c>
      <c r="C107" s="22">
        <v>83.799618536789552</v>
      </c>
      <c r="D107" s="22">
        <v>40.74024821593882</v>
      </c>
      <c r="E107" s="22">
        <v>74.221499849387044</v>
      </c>
      <c r="F107" s="22">
        <v>279.42465995951432</v>
      </c>
      <c r="G107" s="22">
        <v>141.94045594683192</v>
      </c>
      <c r="H107" s="22">
        <v>3.1540404677980067</v>
      </c>
      <c r="I107" s="22">
        <v>59.691394571147015</v>
      </c>
      <c r="J107" s="22">
        <v>40.866208148155273</v>
      </c>
      <c r="K107" s="22">
        <v>21.80336614159517</v>
      </c>
      <c r="L107" s="22">
        <v>25.098083171166017</v>
      </c>
      <c r="M107" s="22">
        <v>1.6896404646138117</v>
      </c>
      <c r="N107" s="22">
        <v>1.8170163365773724</v>
      </c>
      <c r="O107" s="22">
        <v>1282.3296367087296</v>
      </c>
    </row>
    <row r="108" spans="1:15" ht="15" customHeight="1" x14ac:dyDescent="0.2">
      <c r="A108" s="11" t="s">
        <v>365</v>
      </c>
      <c r="B108" s="22">
        <v>426.02028035493578</v>
      </c>
      <c r="C108" s="22">
        <v>71.192675132488731</v>
      </c>
      <c r="D108" s="22">
        <v>32.549247258347663</v>
      </c>
      <c r="E108" s="22">
        <v>65.216862283686666</v>
      </c>
      <c r="F108" s="22">
        <v>243.82918467349776</v>
      </c>
      <c r="G108" s="22">
        <v>137.01310896092099</v>
      </c>
      <c r="H108" s="22">
        <v>3.1047032202663507</v>
      </c>
      <c r="I108" s="22">
        <v>58.226273329682272</v>
      </c>
      <c r="J108" s="22">
        <v>41.862754101235787</v>
      </c>
      <c r="K108" s="22">
        <v>23.93798725328471</v>
      </c>
      <c r="L108" s="22">
        <v>29.231591916491119</v>
      </c>
      <c r="M108" s="22">
        <v>3.8268175369917818</v>
      </c>
      <c r="N108" s="22">
        <v>2.4541468784281486</v>
      </c>
      <c r="O108" s="22">
        <v>1138.4656329002578</v>
      </c>
    </row>
    <row r="109" spans="1:15" ht="15" customHeight="1" x14ac:dyDescent="0.2">
      <c r="A109" s="11" t="s">
        <v>366</v>
      </c>
      <c r="B109" s="22">
        <v>430.78682211456783</v>
      </c>
      <c r="C109" s="22">
        <v>77.149425673101192</v>
      </c>
      <c r="D109" s="22">
        <v>40.833561953943935</v>
      </c>
      <c r="E109" s="22">
        <v>72.948637087585169</v>
      </c>
      <c r="F109" s="22">
        <v>259.84367111854476</v>
      </c>
      <c r="G109" s="22">
        <v>126.54004259551579</v>
      </c>
      <c r="H109" s="22">
        <v>2.957214566003751</v>
      </c>
      <c r="I109" s="22">
        <v>56.265099909115051</v>
      </c>
      <c r="J109" s="22">
        <v>37.902103453793003</v>
      </c>
      <c r="K109" s="22">
        <v>19.882996019866031</v>
      </c>
      <c r="L109" s="22">
        <v>20.92228955845755</v>
      </c>
      <c r="M109" s="22">
        <v>2.0747161107179912</v>
      </c>
      <c r="N109" s="22">
        <v>1.7299104511092716</v>
      </c>
      <c r="O109" s="22">
        <v>1149.8364906123213</v>
      </c>
    </row>
    <row r="110" spans="1:15" ht="15" customHeight="1" x14ac:dyDescent="0.2">
      <c r="A110" s="11" t="s">
        <v>367</v>
      </c>
      <c r="B110" s="22">
        <v>389.89440715593759</v>
      </c>
      <c r="C110" s="22">
        <v>73.513372557916355</v>
      </c>
      <c r="D110" s="22">
        <v>24.112385477285564</v>
      </c>
      <c r="E110" s="22">
        <v>88.123709079574937</v>
      </c>
      <c r="F110" s="22">
        <v>241.46203526393282</v>
      </c>
      <c r="G110" s="22">
        <v>111.778797030818</v>
      </c>
      <c r="H110" s="22">
        <v>2.0372294195797576</v>
      </c>
      <c r="I110" s="22">
        <v>47.138241242773717</v>
      </c>
      <c r="J110" s="22">
        <v>37.010021713938769</v>
      </c>
      <c r="K110" s="22">
        <v>19.92968399559976</v>
      </c>
      <c r="L110" s="22">
        <v>20.571422892993894</v>
      </c>
      <c r="M110" s="22">
        <v>1.5524672479247392</v>
      </c>
      <c r="N110" s="22">
        <v>1.3330251381601947</v>
      </c>
      <c r="O110" s="22">
        <v>1058.456798216436</v>
      </c>
    </row>
    <row r="111" spans="1:15" ht="15" customHeight="1" x14ac:dyDescent="0.2">
      <c r="A111" s="11" t="s">
        <v>368</v>
      </c>
      <c r="B111" s="22">
        <v>471.62397103307268</v>
      </c>
      <c r="C111" s="22">
        <v>74.197203750053774</v>
      </c>
      <c r="D111" s="22">
        <v>23.531477308862943</v>
      </c>
      <c r="E111" s="22">
        <v>90.056758704321908</v>
      </c>
      <c r="F111" s="22">
        <v>248.57320093182142</v>
      </c>
      <c r="G111" s="22">
        <v>105.82051310329304</v>
      </c>
      <c r="H111" s="22">
        <v>2.3490768655589296</v>
      </c>
      <c r="I111" s="22">
        <v>44.363428531417597</v>
      </c>
      <c r="J111" s="22">
        <v>43.721519885614825</v>
      </c>
      <c r="K111" s="22">
        <v>19.105169596854342</v>
      </c>
      <c r="L111" s="22">
        <v>30.089131085970322</v>
      </c>
      <c r="M111" s="22">
        <v>2.4281086245221148</v>
      </c>
      <c r="N111" s="22">
        <v>2.1077512646309016</v>
      </c>
      <c r="O111" s="22">
        <v>1157.9673106859948</v>
      </c>
    </row>
    <row r="112" spans="1:15" ht="15" customHeight="1" x14ac:dyDescent="0.2">
      <c r="A112" s="169" t="s">
        <v>376</v>
      </c>
      <c r="B112" s="170">
        <v>448.59828919106837</v>
      </c>
      <c r="C112" s="170">
        <v>75.579366819299338</v>
      </c>
      <c r="D112" s="170">
        <v>38.999457272130421</v>
      </c>
      <c r="E112" s="170">
        <v>79.101884590268796</v>
      </c>
      <c r="F112" s="170">
        <v>234.93089086823005</v>
      </c>
      <c r="G112" s="170">
        <v>121.8385871590268</v>
      </c>
      <c r="H112" s="170">
        <v>2.3855901988702879</v>
      </c>
      <c r="I112" s="170">
        <v>44.211572318919721</v>
      </c>
      <c r="J112" s="170">
        <v>36.531398460411147</v>
      </c>
      <c r="K112" s="170">
        <v>21.509224189183996</v>
      </c>
      <c r="L112" s="170">
        <v>37.020467424781394</v>
      </c>
      <c r="M112" s="170">
        <v>5.2886202475601003</v>
      </c>
      <c r="N112" s="170">
        <v>2.7512210237162726</v>
      </c>
      <c r="O112" s="170">
        <v>1148.7465697634668</v>
      </c>
    </row>
    <row r="113" spans="1:15" ht="15" customHeight="1" x14ac:dyDescent="0.2">
      <c r="A113" s="169" t="s">
        <v>378</v>
      </c>
      <c r="B113" s="170">
        <v>385.93679050360777</v>
      </c>
      <c r="C113" s="170">
        <v>75.459359579239717</v>
      </c>
      <c r="D113" s="170">
        <v>34.481771929133274</v>
      </c>
      <c r="E113" s="170">
        <v>72.603520826938052</v>
      </c>
      <c r="F113" s="170">
        <v>252.67490521192201</v>
      </c>
      <c r="G113" s="170">
        <v>114.98945117366674</v>
      </c>
      <c r="H113" s="170">
        <v>2.9411076182798377</v>
      </c>
      <c r="I113" s="170">
        <v>47.554752763574797</v>
      </c>
      <c r="J113" s="170">
        <v>38.312739027643183</v>
      </c>
      <c r="K113" s="170">
        <v>14.471840519155764</v>
      </c>
      <c r="L113" s="170">
        <v>14.40991634444625</v>
      </c>
      <c r="M113" s="170">
        <v>3.4354221179077835</v>
      </c>
      <c r="N113" s="170">
        <v>0.69990574204204181</v>
      </c>
      <c r="O113" s="170">
        <v>1057.9714833575572</v>
      </c>
    </row>
    <row r="114" spans="1:15" ht="15" customHeight="1" x14ac:dyDescent="0.2">
      <c r="A114" s="169" t="s">
        <v>377</v>
      </c>
      <c r="B114" s="170">
        <v>442.15792947326003</v>
      </c>
      <c r="C114" s="170">
        <v>89.223317814043597</v>
      </c>
      <c r="D114" s="170">
        <v>28.325484755744309</v>
      </c>
      <c r="E114" s="170">
        <v>157.20853194152821</v>
      </c>
      <c r="F114" s="170">
        <v>289.72524292518858</v>
      </c>
      <c r="G114" s="170">
        <v>114.73707545920672</v>
      </c>
      <c r="H114" s="170">
        <v>3.2638918621192006</v>
      </c>
      <c r="I114" s="170">
        <v>50.427992330551248</v>
      </c>
      <c r="J114" s="170">
        <v>34.995328182963895</v>
      </c>
      <c r="K114" s="170">
        <v>13.846536763949167</v>
      </c>
      <c r="L114" s="170">
        <v>26.682934149244886</v>
      </c>
      <c r="M114" s="170">
        <v>2.2048315956153144</v>
      </c>
      <c r="N114" s="170">
        <v>1.5264044064862676</v>
      </c>
      <c r="O114" s="170">
        <v>1254.3255016599014</v>
      </c>
    </row>
    <row r="115" spans="1:15" ht="15" customHeight="1" x14ac:dyDescent="0.2">
      <c r="A115" s="171" t="s">
        <v>398</v>
      </c>
      <c r="B115" s="172">
        <v>348.00238589483695</v>
      </c>
      <c r="C115" s="172">
        <v>61.907000431345722</v>
      </c>
      <c r="D115" s="172">
        <v>31.084005843802284</v>
      </c>
      <c r="E115" s="172">
        <v>140.35040945748707</v>
      </c>
      <c r="F115" s="172">
        <v>265.65271747487373</v>
      </c>
      <c r="G115" s="172">
        <v>100.0266410935009</v>
      </c>
      <c r="H115" s="172">
        <v>2.4417723663815782</v>
      </c>
      <c r="I115" s="172">
        <v>43.551389005898216</v>
      </c>
      <c r="J115" s="172">
        <v>24.001395894789564</v>
      </c>
      <c r="K115" s="172">
        <v>16.747354213836875</v>
      </c>
      <c r="L115" s="172">
        <v>35.191782383714397</v>
      </c>
      <c r="M115" s="172">
        <v>2.6346237922714857</v>
      </c>
      <c r="N115" s="172">
        <v>2.5052883269633646</v>
      </c>
      <c r="O115" s="172">
        <v>1074.0967661797022</v>
      </c>
    </row>
    <row r="116" spans="1:15" ht="15" customHeight="1" x14ac:dyDescent="0.2">
      <c r="A116" s="113" t="s">
        <v>111</v>
      </c>
      <c r="B116" s="30"/>
      <c r="C116" s="30"/>
      <c r="D116" s="30"/>
      <c r="E116" s="30"/>
      <c r="F116" s="30"/>
      <c r="M116" s="161" t="s">
        <v>0</v>
      </c>
      <c r="N116" s="30" t="s">
        <v>225</v>
      </c>
      <c r="O116" s="30"/>
    </row>
    <row r="117" spans="1:15" ht="15" customHeight="1" x14ac:dyDescent="0.2">
      <c r="B117" s="30"/>
      <c r="C117" s="30"/>
      <c r="D117" s="30"/>
      <c r="E117" s="30"/>
      <c r="F117" s="30"/>
      <c r="N117" s="30" t="s">
        <v>4</v>
      </c>
      <c r="O117" s="30"/>
    </row>
    <row r="118" spans="1:15" ht="15" customHeight="1" x14ac:dyDescent="0.2">
      <c r="A118" s="30"/>
      <c r="B118" s="30"/>
      <c r="C118" s="30"/>
      <c r="D118" s="30"/>
      <c r="E118" s="30"/>
      <c r="F118" s="30"/>
      <c r="N118" s="30" t="s">
        <v>113</v>
      </c>
      <c r="O118" s="30"/>
    </row>
    <row r="119" spans="1:15" ht="15" customHeight="1" x14ac:dyDescent="0.2">
      <c r="A119" s="30"/>
      <c r="B119" s="30"/>
      <c r="C119" s="30"/>
      <c r="D119" s="30"/>
      <c r="E119" s="30"/>
      <c r="F119" s="30"/>
      <c r="N119" s="30" t="s">
        <v>114</v>
      </c>
      <c r="O119" s="30"/>
    </row>
  </sheetData>
  <mergeCells count="6">
    <mergeCell ref="O5:O6"/>
    <mergeCell ref="A5:A6"/>
    <mergeCell ref="M5:M6"/>
    <mergeCell ref="A4:N4"/>
    <mergeCell ref="B5:F5"/>
    <mergeCell ref="N5:N6"/>
  </mergeCells>
  <phoneticPr fontId="19" type="noConversion"/>
  <hyperlinks>
    <hyperlink ref="O2" location="Contents!A1" display="Back to Contents" xr:uid="{88E39213-D085-43D4-9AA7-3047197FAC0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E2A36-BE12-460E-8BD4-CCC717380851}">
  <sheetPr>
    <pageSetUpPr fitToPage="1"/>
  </sheetPr>
  <dimension ref="A1:M128"/>
  <sheetViews>
    <sheetView zoomScaleNormal="100" workbookViewId="0">
      <selection activeCell="M2" sqref="M2"/>
    </sheetView>
  </sheetViews>
  <sheetFormatPr defaultRowHeight="15" customHeight="1" x14ac:dyDescent="0.2"/>
  <cols>
    <col min="1" max="1" width="12.7109375" style="19" customWidth="1"/>
    <col min="2" max="3" width="14.5703125" style="19" customWidth="1"/>
    <col min="4" max="4" width="15.85546875" style="19" customWidth="1"/>
    <col min="5" max="10" width="14.5703125" style="19" customWidth="1"/>
    <col min="11" max="11" width="17.28515625" style="19" customWidth="1"/>
    <col min="12" max="13" width="14.5703125" style="19" customWidth="1"/>
    <col min="14" max="16384" width="9.140625" style="19"/>
  </cols>
  <sheetData>
    <row r="1" spans="1:13" s="16" customFormat="1" ht="15" customHeight="1" x14ac:dyDescent="0.25">
      <c r="A1" s="13" t="s">
        <v>29</v>
      </c>
      <c r="B1" s="14"/>
      <c r="C1" s="14"/>
      <c r="D1" s="14"/>
      <c r="E1" s="14"/>
      <c r="F1" s="14"/>
      <c r="G1" s="14"/>
      <c r="H1" s="14"/>
      <c r="I1" s="14"/>
      <c r="J1" s="14"/>
      <c r="K1" s="14"/>
      <c r="L1" s="14"/>
      <c r="M1" s="15" t="s">
        <v>33</v>
      </c>
    </row>
    <row r="2" spans="1:13" s="16" customFormat="1" ht="15" customHeight="1" x14ac:dyDescent="0.25">
      <c r="A2" s="54" t="s">
        <v>286</v>
      </c>
      <c r="B2" s="14"/>
      <c r="C2" s="14"/>
      <c r="D2" s="14"/>
      <c r="E2" s="14"/>
      <c r="F2" s="14"/>
      <c r="G2" s="14"/>
      <c r="H2" s="14"/>
      <c r="I2" s="14"/>
      <c r="J2" s="14"/>
      <c r="K2" s="14"/>
      <c r="L2" s="14"/>
      <c r="M2" s="17" t="s">
        <v>10</v>
      </c>
    </row>
    <row r="3" spans="1:13" s="16" customFormat="1" ht="15" customHeight="1" x14ac:dyDescent="0.25"/>
    <row r="4" spans="1:13" s="16" customFormat="1" ht="15" customHeight="1" x14ac:dyDescent="0.3">
      <c r="A4" s="208" t="s">
        <v>34</v>
      </c>
      <c r="B4" s="208"/>
      <c r="C4" s="208"/>
      <c r="D4" s="208"/>
      <c r="E4" s="208"/>
      <c r="F4" s="208"/>
      <c r="G4" s="208"/>
      <c r="H4" s="208"/>
      <c r="I4" s="208"/>
      <c r="J4" s="208"/>
      <c r="K4" s="208"/>
      <c r="L4" s="208"/>
      <c r="M4" s="208"/>
    </row>
    <row r="5" spans="1:13" ht="15" customHeight="1" x14ac:dyDescent="0.2">
      <c r="A5" s="209" t="s">
        <v>3</v>
      </c>
      <c r="B5" s="218" t="s">
        <v>35</v>
      </c>
      <c r="C5" s="218"/>
      <c r="D5" s="218"/>
      <c r="E5" s="218"/>
      <c r="F5" s="218"/>
      <c r="G5" s="218"/>
      <c r="H5" s="218"/>
      <c r="I5" s="218"/>
      <c r="J5" s="218"/>
      <c r="K5" s="218"/>
      <c r="L5" s="218"/>
      <c r="M5" s="219" t="s">
        <v>36</v>
      </c>
    </row>
    <row r="6" spans="1:13" ht="50.1" customHeight="1" x14ac:dyDescent="0.2">
      <c r="A6" s="210"/>
      <c r="B6" s="20" t="s">
        <v>37</v>
      </c>
      <c r="C6" s="20" t="s">
        <v>38</v>
      </c>
      <c r="D6" s="20" t="s">
        <v>39</v>
      </c>
      <c r="E6" s="20" t="s">
        <v>40</v>
      </c>
      <c r="F6" s="20" t="s">
        <v>41</v>
      </c>
      <c r="G6" s="20" t="s">
        <v>42</v>
      </c>
      <c r="H6" s="20" t="s">
        <v>43</v>
      </c>
      <c r="I6" s="20" t="s">
        <v>44</v>
      </c>
      <c r="J6" s="20" t="s">
        <v>45</v>
      </c>
      <c r="K6" s="20" t="s">
        <v>46</v>
      </c>
      <c r="L6" s="18" t="s">
        <v>47</v>
      </c>
      <c r="M6" s="220"/>
    </row>
    <row r="7" spans="1:13" ht="15" customHeight="1" x14ac:dyDescent="0.2">
      <c r="A7" s="35" t="s">
        <v>48</v>
      </c>
      <c r="B7" s="36">
        <v>2409.3245199087924</v>
      </c>
      <c r="C7" s="36">
        <v>116.55539948612156</v>
      </c>
      <c r="D7" s="36">
        <v>368.61980600330111</v>
      </c>
      <c r="E7" s="36">
        <v>373.56005886030391</v>
      </c>
      <c r="F7" s="36">
        <v>96.618770197026876</v>
      </c>
      <c r="G7" s="36">
        <v>223.95846939227667</v>
      </c>
      <c r="H7" s="36">
        <v>1344.0324714579799</v>
      </c>
      <c r="I7" s="36">
        <v>396.07983512428973</v>
      </c>
      <c r="J7" s="36">
        <v>4718.5556740105185</v>
      </c>
      <c r="K7" s="36">
        <v>0.12245541747512334</v>
      </c>
      <c r="L7" s="37">
        <v>10047.427459858083</v>
      </c>
      <c r="M7" s="38">
        <v>1858927.0073350654</v>
      </c>
    </row>
    <row r="8" spans="1:13" ht="15" customHeight="1" x14ac:dyDescent="0.2">
      <c r="A8" s="34" t="s">
        <v>49</v>
      </c>
      <c r="B8" s="21">
        <v>2845.957765835019</v>
      </c>
      <c r="C8" s="21">
        <v>145.24066180576551</v>
      </c>
      <c r="D8" s="21">
        <v>433.21280504500197</v>
      </c>
      <c r="E8" s="21">
        <v>506.38280661652993</v>
      </c>
      <c r="F8" s="21">
        <v>128.90374970996277</v>
      </c>
      <c r="G8" s="21">
        <v>291.69480567582519</v>
      </c>
      <c r="H8" s="21">
        <v>1700.7251824991349</v>
      </c>
      <c r="I8" s="21">
        <v>631.80867857232397</v>
      </c>
      <c r="J8" s="21">
        <v>5813.1046724562111</v>
      </c>
      <c r="K8" s="21">
        <v>1.5484355679907367</v>
      </c>
      <c r="L8" s="22">
        <v>12498.579563783767</v>
      </c>
      <c r="M8" s="23">
        <v>2486943.1496471749</v>
      </c>
    </row>
    <row r="9" spans="1:13" ht="15" customHeight="1" x14ac:dyDescent="0.2">
      <c r="A9" s="35" t="s">
        <v>50</v>
      </c>
      <c r="B9" s="36">
        <v>2701.7774742661563</v>
      </c>
      <c r="C9" s="36">
        <v>135.81556236052265</v>
      </c>
      <c r="D9" s="36">
        <v>450.28402769791404</v>
      </c>
      <c r="E9" s="36">
        <v>568.02909843124326</v>
      </c>
      <c r="F9" s="36">
        <v>89.853092750070502</v>
      </c>
      <c r="G9" s="36">
        <v>271.46061848082405</v>
      </c>
      <c r="H9" s="36">
        <v>1875.9371801998236</v>
      </c>
      <c r="I9" s="36">
        <v>692.13891733475668</v>
      </c>
      <c r="J9" s="36">
        <v>6320.3176675060749</v>
      </c>
      <c r="K9" s="36">
        <v>0.82579810452136826</v>
      </c>
      <c r="L9" s="37">
        <v>13106.439437131905</v>
      </c>
      <c r="M9" s="38">
        <v>4234913.1388442041</v>
      </c>
    </row>
    <row r="10" spans="1:13" ht="15" customHeight="1" x14ac:dyDescent="0.2">
      <c r="A10" s="34" t="s">
        <v>51</v>
      </c>
      <c r="B10" s="21">
        <v>2761.0039638180842</v>
      </c>
      <c r="C10" s="21">
        <v>158.51550630354677</v>
      </c>
      <c r="D10" s="21">
        <v>380.52214381507082</v>
      </c>
      <c r="E10" s="21">
        <v>539.3745129196609</v>
      </c>
      <c r="F10" s="21">
        <v>69.566519006090672</v>
      </c>
      <c r="G10" s="21">
        <v>234.15866182774352</v>
      </c>
      <c r="H10" s="21">
        <v>1875.7783367865627</v>
      </c>
      <c r="I10" s="21">
        <v>730.94938970798046</v>
      </c>
      <c r="J10" s="21">
        <v>5160.4027398112621</v>
      </c>
      <c r="K10" s="21">
        <v>0.43814874845099894</v>
      </c>
      <c r="L10" s="22">
        <v>11910.709922744454</v>
      </c>
      <c r="M10" s="23">
        <v>3899426.8395617483</v>
      </c>
    </row>
    <row r="11" spans="1:13" ht="15" customHeight="1" x14ac:dyDescent="0.2">
      <c r="A11" s="35" t="s">
        <v>362</v>
      </c>
      <c r="B11" s="36">
        <v>2998.050104454715</v>
      </c>
      <c r="C11" s="36">
        <v>165.57621507211297</v>
      </c>
      <c r="D11" s="36">
        <v>375.60491518329138</v>
      </c>
      <c r="E11" s="36">
        <v>1063.4479830385769</v>
      </c>
      <c r="F11" s="36">
        <v>95.282162284852845</v>
      </c>
      <c r="G11" s="36">
        <v>281.05676309401508</v>
      </c>
      <c r="H11" s="36">
        <v>1782.7731850976502</v>
      </c>
      <c r="I11" s="36">
        <v>578.7987372860523</v>
      </c>
      <c r="J11" s="36">
        <v>5431.1105498730421</v>
      </c>
      <c r="K11" s="36">
        <v>0.33125737294622437</v>
      </c>
      <c r="L11" s="37">
        <v>12771.993204914361</v>
      </c>
      <c r="M11" s="38">
        <v>3857194.9496305343</v>
      </c>
    </row>
    <row r="12" spans="1:13" ht="15" customHeight="1" x14ac:dyDescent="0.2">
      <c r="A12" s="34" t="s">
        <v>337</v>
      </c>
      <c r="B12" s="21">
        <v>3377.9470474942882</v>
      </c>
      <c r="C12" s="21">
        <v>176.26783546553776</v>
      </c>
      <c r="D12" s="21">
        <v>455.19587301696788</v>
      </c>
      <c r="E12" s="21">
        <v>971.00487373459418</v>
      </c>
      <c r="F12" s="21">
        <v>200.86886815953631</v>
      </c>
      <c r="G12" s="21">
        <v>363.67051089003218</v>
      </c>
      <c r="H12" s="21">
        <v>1713.2377908687531</v>
      </c>
      <c r="I12" s="21">
        <v>599.74255488366441</v>
      </c>
      <c r="J12" s="21">
        <v>5723.3631978400936</v>
      </c>
      <c r="K12" s="21">
        <v>7.5974963017974892E-2</v>
      </c>
      <c r="L12" s="21">
        <v>13581.374527316486</v>
      </c>
      <c r="M12" s="22">
        <v>4086645.5211072601</v>
      </c>
    </row>
    <row r="13" spans="1:13" ht="15" customHeight="1" x14ac:dyDescent="0.2">
      <c r="A13" s="8"/>
      <c r="B13" s="21"/>
      <c r="C13" s="21"/>
      <c r="D13" s="21"/>
      <c r="E13" s="21"/>
      <c r="F13" s="21"/>
      <c r="G13" s="21"/>
      <c r="H13" s="21"/>
      <c r="I13" s="21"/>
      <c r="J13" s="21"/>
      <c r="K13" s="21"/>
      <c r="L13" s="22"/>
      <c r="M13" s="23"/>
    </row>
    <row r="14" spans="1:13" s="24" customFormat="1" ht="15" customHeight="1" x14ac:dyDescent="0.2">
      <c r="A14" s="9" t="s">
        <v>13</v>
      </c>
      <c r="B14" s="36">
        <v>536.37013339455984</v>
      </c>
      <c r="C14" s="36">
        <v>27.327367145007358</v>
      </c>
      <c r="D14" s="36">
        <v>82.294977033419855</v>
      </c>
      <c r="E14" s="36">
        <v>177.65547476776433</v>
      </c>
      <c r="F14" s="36">
        <v>16.384781086160757</v>
      </c>
      <c r="G14" s="36">
        <v>47.487564019358111</v>
      </c>
      <c r="H14" s="36">
        <v>334.36633666345199</v>
      </c>
      <c r="I14" s="36">
        <v>100.74258051497208</v>
      </c>
      <c r="J14" s="36">
        <v>1326.9913476284034</v>
      </c>
      <c r="K14" s="36">
        <v>0</v>
      </c>
      <c r="L14" s="37">
        <v>2649.6205622530974</v>
      </c>
      <c r="M14" s="38">
        <v>483205.31215424463</v>
      </c>
    </row>
    <row r="15" spans="1:13" s="24" customFormat="1" ht="15" customHeight="1" x14ac:dyDescent="0.2">
      <c r="A15" s="9" t="s">
        <v>14</v>
      </c>
      <c r="B15" s="36">
        <v>541.82411963925438</v>
      </c>
      <c r="C15" s="36">
        <v>20.181985509062876</v>
      </c>
      <c r="D15" s="36">
        <v>72.365980111844038</v>
      </c>
      <c r="E15" s="36">
        <v>41.825108083065871</v>
      </c>
      <c r="F15" s="36">
        <v>17.780862340047747</v>
      </c>
      <c r="G15" s="36">
        <v>49.196737075358755</v>
      </c>
      <c r="H15" s="36">
        <v>261.07907920049411</v>
      </c>
      <c r="I15" s="36">
        <v>70.911040453114282</v>
      </c>
      <c r="J15" s="36">
        <v>687.9640317728481</v>
      </c>
      <c r="K15" s="36">
        <v>3.9732263547307411E-3</v>
      </c>
      <c r="L15" s="37">
        <v>1763.1329174114449</v>
      </c>
      <c r="M15" s="38">
        <v>330996.49296245084</v>
      </c>
    </row>
    <row r="16" spans="1:13" s="24" customFormat="1" ht="15" customHeight="1" x14ac:dyDescent="0.2">
      <c r="A16" s="9" t="s">
        <v>15</v>
      </c>
      <c r="B16" s="36">
        <v>732.44600870006502</v>
      </c>
      <c r="C16" s="36">
        <v>38.986546322785301</v>
      </c>
      <c r="D16" s="36">
        <v>111.26266890296584</v>
      </c>
      <c r="E16" s="36">
        <v>77.284596661048212</v>
      </c>
      <c r="F16" s="36">
        <v>33.326088869031594</v>
      </c>
      <c r="G16" s="36">
        <v>63.302836493232704</v>
      </c>
      <c r="H16" s="36">
        <v>401.32642698427503</v>
      </c>
      <c r="I16" s="36">
        <v>117.5726885289169</v>
      </c>
      <c r="J16" s="36">
        <v>1456.75074907505</v>
      </c>
      <c r="K16" s="36">
        <v>3.3209880654794688E-2</v>
      </c>
      <c r="L16" s="37">
        <v>3032.291820418026</v>
      </c>
      <c r="M16" s="38">
        <v>561826.04454259051</v>
      </c>
    </row>
    <row r="17" spans="1:13" s="24" customFormat="1" ht="15" customHeight="1" x14ac:dyDescent="0.2">
      <c r="A17" s="9" t="s">
        <v>16</v>
      </c>
      <c r="B17" s="36">
        <v>598.68425817491288</v>
      </c>
      <c r="C17" s="36">
        <v>30.05950050926603</v>
      </c>
      <c r="D17" s="36">
        <v>102.69617995507134</v>
      </c>
      <c r="E17" s="36">
        <v>76.794879348425468</v>
      </c>
      <c r="F17" s="36">
        <v>29.127037901786768</v>
      </c>
      <c r="G17" s="36">
        <v>63.971331804327114</v>
      </c>
      <c r="H17" s="36">
        <v>347.26062860975878</v>
      </c>
      <c r="I17" s="36">
        <v>106.85352562728642</v>
      </c>
      <c r="J17" s="36">
        <v>1246.8495455342168</v>
      </c>
      <c r="K17" s="36">
        <v>8.5272310465597911E-2</v>
      </c>
      <c r="L17" s="37">
        <v>2602.3821597755168</v>
      </c>
      <c r="M17" s="38">
        <v>482899.15767577942</v>
      </c>
    </row>
    <row r="18" spans="1:13" s="24" customFormat="1" ht="15" customHeight="1" x14ac:dyDescent="0.2">
      <c r="A18" s="8" t="s">
        <v>17</v>
      </c>
      <c r="B18" s="21">
        <v>675.89992657938183</v>
      </c>
      <c r="C18" s="21">
        <v>33.539521875790072</v>
      </c>
      <c r="D18" s="21">
        <v>110.63357499841416</v>
      </c>
      <c r="E18" s="21">
        <v>85.83291981835734</v>
      </c>
      <c r="F18" s="21">
        <v>29.779836375326362</v>
      </c>
      <c r="G18" s="21">
        <v>67.294833765992962</v>
      </c>
      <c r="H18" s="21">
        <v>407.1845954957962</v>
      </c>
      <c r="I18" s="21">
        <v>148.13550938144789</v>
      </c>
      <c r="J18" s="21">
        <v>1423.672972053288</v>
      </c>
      <c r="K18" s="21">
        <v>0.18701727843392746</v>
      </c>
      <c r="L18" s="22">
        <v>2982.160707622229</v>
      </c>
      <c r="M18" s="23">
        <v>578578.64886083291</v>
      </c>
    </row>
    <row r="19" spans="1:13" s="24" customFormat="1" ht="15" customHeight="1" x14ac:dyDescent="0.2">
      <c r="A19" s="8" t="s">
        <v>18</v>
      </c>
      <c r="B19" s="21">
        <v>602.95383783703915</v>
      </c>
      <c r="C19" s="21">
        <v>31.356122242489171</v>
      </c>
      <c r="D19" s="21">
        <v>98.655024153267362</v>
      </c>
      <c r="E19" s="21">
        <v>110.84554972791531</v>
      </c>
      <c r="F19" s="21">
        <v>26.829036831114699</v>
      </c>
      <c r="G19" s="21">
        <v>71.858467471078185</v>
      </c>
      <c r="H19" s="21">
        <v>385.85091362579942</v>
      </c>
      <c r="I19" s="21">
        <v>141.23699499041723</v>
      </c>
      <c r="J19" s="21">
        <v>1247.1924067531504</v>
      </c>
      <c r="K19" s="21">
        <v>0.12382799883960161</v>
      </c>
      <c r="L19" s="22">
        <v>2716.9021816311106</v>
      </c>
      <c r="M19" s="23">
        <v>540716.46113677742</v>
      </c>
    </row>
    <row r="20" spans="1:13" s="24" customFormat="1" ht="15" customHeight="1" x14ac:dyDescent="0.2">
      <c r="A20" s="8" t="s">
        <v>19</v>
      </c>
      <c r="B20" s="21">
        <v>740.6600294976414</v>
      </c>
      <c r="C20" s="21">
        <v>34.288222454795772</v>
      </c>
      <c r="D20" s="21">
        <v>112.6944930642243</v>
      </c>
      <c r="E20" s="21">
        <v>151.95016708489442</v>
      </c>
      <c r="F20" s="21">
        <v>36.251821966827379</v>
      </c>
      <c r="G20" s="21">
        <v>72.754995725657906</v>
      </c>
      <c r="H20" s="21">
        <v>436.5626821013974</v>
      </c>
      <c r="I20" s="21">
        <v>147.18253481183507</v>
      </c>
      <c r="J20" s="21">
        <v>1506.6337481706614</v>
      </c>
      <c r="K20" s="21">
        <v>0.44713378366191137</v>
      </c>
      <c r="L20" s="22">
        <v>3239.4258286615968</v>
      </c>
      <c r="M20" s="23">
        <v>650461.54797785706</v>
      </c>
    </row>
    <row r="21" spans="1:13" s="24" customFormat="1" ht="15" customHeight="1" x14ac:dyDescent="0.2">
      <c r="A21" s="8" t="s">
        <v>20</v>
      </c>
      <c r="B21" s="21">
        <v>826.44397192095653</v>
      </c>
      <c r="C21" s="21">
        <v>46.056795232690504</v>
      </c>
      <c r="D21" s="21">
        <v>111.22971282909614</v>
      </c>
      <c r="E21" s="21">
        <v>157.75416998536286</v>
      </c>
      <c r="F21" s="21">
        <v>36.043054536694321</v>
      </c>
      <c r="G21" s="21">
        <v>79.786508713096083</v>
      </c>
      <c r="H21" s="21">
        <v>471.12699127614189</v>
      </c>
      <c r="I21" s="21">
        <v>195.2536393886237</v>
      </c>
      <c r="J21" s="21">
        <v>1635.6055454791117</v>
      </c>
      <c r="K21" s="21">
        <v>0.79045650705529624</v>
      </c>
      <c r="L21" s="22">
        <v>3560.0908458688291</v>
      </c>
      <c r="M21" s="23">
        <v>717186.49167170725</v>
      </c>
    </row>
    <row r="22" spans="1:13" s="24" customFormat="1" ht="15" customHeight="1" x14ac:dyDescent="0.2">
      <c r="A22" s="9" t="s">
        <v>21</v>
      </c>
      <c r="B22" s="36">
        <v>632.89866165330568</v>
      </c>
      <c r="C22" s="36">
        <v>33.32166567622194</v>
      </c>
      <c r="D22" s="36">
        <v>121.05217008399163</v>
      </c>
      <c r="E22" s="36">
        <v>179.52160959735599</v>
      </c>
      <c r="F22" s="36">
        <v>25.380540006983853</v>
      </c>
      <c r="G22" s="36">
        <v>64.079969554165274</v>
      </c>
      <c r="H22" s="36">
        <v>461.51497272658361</v>
      </c>
      <c r="I22" s="36">
        <v>163.40021040100751</v>
      </c>
      <c r="J22" s="36">
        <v>1572.6980515751084</v>
      </c>
      <c r="K22" s="36">
        <v>0.30549608818364504</v>
      </c>
      <c r="L22" s="37">
        <v>3254.1733473629074</v>
      </c>
      <c r="M22" s="38">
        <v>713405.82562616968</v>
      </c>
    </row>
    <row r="23" spans="1:13" s="24" customFormat="1" ht="15" customHeight="1" x14ac:dyDescent="0.2">
      <c r="A23" s="9" t="s">
        <v>22</v>
      </c>
      <c r="B23" s="36">
        <v>649.3103866550839</v>
      </c>
      <c r="C23" s="36">
        <v>34.7601836960702</v>
      </c>
      <c r="D23" s="36">
        <v>112.93012905006107</v>
      </c>
      <c r="E23" s="36">
        <v>165.79237546844152</v>
      </c>
      <c r="F23" s="36">
        <v>27.847759139263005</v>
      </c>
      <c r="G23" s="36">
        <v>70.776825631231546</v>
      </c>
      <c r="H23" s="36">
        <v>465.82103875620635</v>
      </c>
      <c r="I23" s="36">
        <v>161.9949463632037</v>
      </c>
      <c r="J23" s="36">
        <v>1578.3280397009614</v>
      </c>
      <c r="K23" s="36">
        <v>0.41797802593839606</v>
      </c>
      <c r="L23" s="37">
        <v>3267.9796624864607</v>
      </c>
      <c r="M23" s="38">
        <v>1136284.0726175539</v>
      </c>
    </row>
    <row r="24" spans="1:13" s="24" customFormat="1" ht="15" customHeight="1" x14ac:dyDescent="0.2">
      <c r="A24" s="9" t="s">
        <v>23</v>
      </c>
      <c r="B24" s="36">
        <v>742.41106818385992</v>
      </c>
      <c r="C24" s="36">
        <v>36.371798315172725</v>
      </c>
      <c r="D24" s="36">
        <v>103.66884963355469</v>
      </c>
      <c r="E24" s="36">
        <v>94.554977883340442</v>
      </c>
      <c r="F24" s="36">
        <v>21.081088458688882</v>
      </c>
      <c r="G24" s="36">
        <v>75.236715050626117</v>
      </c>
      <c r="H24" s="36">
        <v>506.94120540930783</v>
      </c>
      <c r="I24" s="36">
        <v>186.96122101601253</v>
      </c>
      <c r="J24" s="36">
        <v>1702.5120800200602</v>
      </c>
      <c r="K24" s="36">
        <v>6.0053999027786631E-2</v>
      </c>
      <c r="L24" s="37">
        <v>3469.7990579696511</v>
      </c>
      <c r="M24" s="38">
        <v>1253939.7468403571</v>
      </c>
    </row>
    <row r="25" spans="1:13" s="24" customFormat="1" ht="15" customHeight="1" x14ac:dyDescent="0.2">
      <c r="A25" s="9" t="s">
        <v>24</v>
      </c>
      <c r="B25" s="36">
        <v>677.1573577739066</v>
      </c>
      <c r="C25" s="36">
        <v>31.361914673057782</v>
      </c>
      <c r="D25" s="36">
        <v>112.63287893030667</v>
      </c>
      <c r="E25" s="36">
        <v>128.1601354821052</v>
      </c>
      <c r="F25" s="36">
        <v>15.543705145134741</v>
      </c>
      <c r="G25" s="36">
        <v>61.367108244801109</v>
      </c>
      <c r="H25" s="36">
        <v>441.65996330772577</v>
      </c>
      <c r="I25" s="36">
        <v>179.782539554533</v>
      </c>
      <c r="J25" s="36">
        <v>1466.7794962099438</v>
      </c>
      <c r="K25" s="36">
        <v>4.2269991371540527E-2</v>
      </c>
      <c r="L25" s="37">
        <v>3114.4873693128866</v>
      </c>
      <c r="M25" s="38">
        <v>1131283.4937601234</v>
      </c>
    </row>
    <row r="26" spans="1:13" s="24" customFormat="1" ht="15" customHeight="1" x14ac:dyDescent="0.2">
      <c r="A26" s="8" t="s">
        <v>25</v>
      </c>
      <c r="B26" s="21">
        <v>648.76500299034353</v>
      </c>
      <c r="C26" s="21">
        <v>41.455268931607485</v>
      </c>
      <c r="D26" s="21">
        <v>99.910941598612339</v>
      </c>
      <c r="E26" s="21">
        <v>130.17036135473577</v>
      </c>
      <c r="F26" s="21">
        <v>15.095230523947148</v>
      </c>
      <c r="G26" s="21">
        <v>56.973974604113224</v>
      </c>
      <c r="H26" s="21">
        <v>484.11572917576865</v>
      </c>
      <c r="I26" s="21">
        <v>178.93327231619085</v>
      </c>
      <c r="J26" s="21">
        <v>1342.0797247806829</v>
      </c>
      <c r="K26" s="21">
        <v>8.4597775817769616E-2</v>
      </c>
      <c r="L26" s="22">
        <v>2997.5841040518198</v>
      </c>
      <c r="M26" s="23">
        <v>1051768.5732507198</v>
      </c>
    </row>
    <row r="27" spans="1:13" s="24" customFormat="1" ht="15" customHeight="1" x14ac:dyDescent="0.2">
      <c r="A27" s="8" t="s">
        <v>26</v>
      </c>
      <c r="B27" s="21">
        <v>666.43027562151974</v>
      </c>
      <c r="C27" s="21">
        <v>37.956453112025166</v>
      </c>
      <c r="D27" s="21">
        <v>92.168878769867462</v>
      </c>
      <c r="E27" s="21">
        <v>117.03156563138491</v>
      </c>
      <c r="F27" s="21">
        <v>16.394348162581519</v>
      </c>
      <c r="G27" s="21">
        <v>60.350624543158006</v>
      </c>
      <c r="H27" s="21">
        <v>454.03919983044091</v>
      </c>
      <c r="I27" s="21">
        <v>180.47480423628701</v>
      </c>
      <c r="J27" s="21">
        <v>1248.5217826752469</v>
      </c>
      <c r="K27" s="21">
        <v>7.4192312516174752E-2</v>
      </c>
      <c r="L27" s="22">
        <v>2873.4421248950275</v>
      </c>
      <c r="M27" s="23">
        <v>891843.52793109487</v>
      </c>
    </row>
    <row r="28" spans="1:13" s="24" customFormat="1" ht="15" customHeight="1" x14ac:dyDescent="0.2">
      <c r="A28" s="8" t="s">
        <v>27</v>
      </c>
      <c r="B28" s="21">
        <v>761.65908798649787</v>
      </c>
      <c r="C28" s="21">
        <v>37.408463937376126</v>
      </c>
      <c r="D28" s="21">
        <v>100.75837194905981</v>
      </c>
      <c r="E28" s="21">
        <v>124.36259121207924</v>
      </c>
      <c r="F28" s="21">
        <v>20.067187143996634</v>
      </c>
      <c r="G28" s="21">
        <v>56.558848542957108</v>
      </c>
      <c r="H28" s="21">
        <v>492.95272133953893</v>
      </c>
      <c r="I28" s="21">
        <v>217.19336144190657</v>
      </c>
      <c r="J28" s="21">
        <v>1299.8867715685585</v>
      </c>
      <c r="K28" s="21">
        <v>0.14382944924398089</v>
      </c>
      <c r="L28" s="22">
        <v>3110.9912345712146</v>
      </c>
      <c r="M28" s="23">
        <v>999247.93162871525</v>
      </c>
    </row>
    <row r="29" spans="1:13" s="24" customFormat="1" ht="15" customHeight="1" x14ac:dyDescent="0.2">
      <c r="A29" s="8" t="s">
        <v>28</v>
      </c>
      <c r="B29" s="21">
        <v>684.14959721972332</v>
      </c>
      <c r="C29" s="21">
        <v>41.695320322537988</v>
      </c>
      <c r="D29" s="21">
        <v>87.683951497531211</v>
      </c>
      <c r="E29" s="21">
        <v>167.80999472146101</v>
      </c>
      <c r="F29" s="21">
        <v>18.009753175565368</v>
      </c>
      <c r="G29" s="21">
        <v>60.275214137515192</v>
      </c>
      <c r="H29" s="21">
        <v>444.67068644081428</v>
      </c>
      <c r="I29" s="21">
        <v>154.34795171359593</v>
      </c>
      <c r="J29" s="21">
        <v>1269.9144607867734</v>
      </c>
      <c r="K29" s="21">
        <v>0.13552921087307368</v>
      </c>
      <c r="L29" s="22">
        <v>2928.6924592263908</v>
      </c>
      <c r="M29" s="23">
        <v>956566.80675121839</v>
      </c>
    </row>
    <row r="30" spans="1:13" s="24" customFormat="1" ht="15" customHeight="1" x14ac:dyDescent="0.2">
      <c r="A30" s="9" t="s">
        <v>369</v>
      </c>
      <c r="B30" s="39">
        <v>702.1822238887994</v>
      </c>
      <c r="C30" s="39">
        <v>40.793308710736724</v>
      </c>
      <c r="D30" s="39">
        <v>96.323488724083148</v>
      </c>
      <c r="E30" s="39">
        <v>279.17077803249697</v>
      </c>
      <c r="F30" s="39">
        <v>19.562981637334353</v>
      </c>
      <c r="G30" s="39">
        <v>68.815500757957778</v>
      </c>
      <c r="H30" s="39">
        <v>485.39198252705842</v>
      </c>
      <c r="I30" s="39">
        <v>156.68019022944685</v>
      </c>
      <c r="J30" s="36">
        <v>1329.5566710348046</v>
      </c>
      <c r="K30" s="36">
        <v>6.7920212756434395E-2</v>
      </c>
      <c r="L30" s="37">
        <v>3178.5237299642222</v>
      </c>
      <c r="M30" s="38">
        <v>993940.40714077512</v>
      </c>
    </row>
    <row r="31" spans="1:13" s="24" customFormat="1" ht="15" customHeight="1" x14ac:dyDescent="0.2">
      <c r="A31" s="9" t="s">
        <v>370</v>
      </c>
      <c r="B31" s="39">
        <v>695.03137003711834</v>
      </c>
      <c r="C31" s="39">
        <v>40.889736935265965</v>
      </c>
      <c r="D31" s="39">
        <v>93.10777170892338</v>
      </c>
      <c r="E31" s="39">
        <v>253.92087170102343</v>
      </c>
      <c r="F31" s="39">
        <v>18.661448058972432</v>
      </c>
      <c r="G31" s="39">
        <v>64.125768943995652</v>
      </c>
      <c r="H31" s="39">
        <v>439.23948328980066</v>
      </c>
      <c r="I31" s="39">
        <v>127.82182008564206</v>
      </c>
      <c r="J31" s="36">
        <v>1232.9798116649908</v>
      </c>
      <c r="K31" s="36">
        <v>8.1999729752738143E-2</v>
      </c>
      <c r="L31" s="37">
        <v>2965.8577402281094</v>
      </c>
      <c r="M31" s="38">
        <v>893045.69594390783</v>
      </c>
    </row>
    <row r="32" spans="1:13" s="24" customFormat="1" ht="15" customHeight="1" x14ac:dyDescent="0.2">
      <c r="A32" s="9" t="s">
        <v>371</v>
      </c>
      <c r="B32" s="39">
        <v>799.99139151370241</v>
      </c>
      <c r="C32" s="39">
        <v>39.688744548561004</v>
      </c>
      <c r="D32" s="39">
        <v>98.055712131471523</v>
      </c>
      <c r="E32" s="39">
        <v>250.97019461441175</v>
      </c>
      <c r="F32" s="39">
        <v>26.188625947294867</v>
      </c>
      <c r="G32" s="39">
        <v>74.507638977275278</v>
      </c>
      <c r="H32" s="39">
        <v>458.67682276738907</v>
      </c>
      <c r="I32" s="39">
        <v>148.57930441095542</v>
      </c>
      <c r="J32" s="36">
        <v>1476.930967201406</v>
      </c>
      <c r="K32" s="36">
        <v>0.11302770860779141</v>
      </c>
      <c r="L32" s="37">
        <v>3373.6989577561021</v>
      </c>
      <c r="M32" s="38">
        <v>1018342.0412292117</v>
      </c>
    </row>
    <row r="33" spans="1:13" s="24" customFormat="1" ht="15" customHeight="1" x14ac:dyDescent="0.2">
      <c r="A33" s="9" t="s">
        <v>372</v>
      </c>
      <c r="B33" s="39">
        <v>800.84511901509472</v>
      </c>
      <c r="C33" s="39">
        <v>44.204424877549286</v>
      </c>
      <c r="D33" s="39">
        <v>88.11794261881326</v>
      </c>
      <c r="E33" s="39">
        <v>279.38613869064488</v>
      </c>
      <c r="F33" s="39">
        <v>30.869106641251193</v>
      </c>
      <c r="G33" s="39">
        <v>73.607854414786431</v>
      </c>
      <c r="H33" s="39">
        <v>399.46489651340187</v>
      </c>
      <c r="I33" s="39">
        <v>145.71742256000795</v>
      </c>
      <c r="J33" s="36">
        <v>1391.6430999718414</v>
      </c>
      <c r="K33" s="36">
        <v>6.8309721829260373E-2</v>
      </c>
      <c r="L33" s="37">
        <v>3253.9127769659285</v>
      </c>
      <c r="M33" s="38">
        <v>951866.80531664041</v>
      </c>
    </row>
    <row r="34" spans="1:13" s="24" customFormat="1" ht="15" customHeight="1" x14ac:dyDescent="0.2">
      <c r="A34" s="8" t="s">
        <v>246</v>
      </c>
      <c r="B34" s="42">
        <v>770.0066635312262</v>
      </c>
      <c r="C34" s="42">
        <v>40.939095883569934</v>
      </c>
      <c r="D34" s="42">
        <v>106.42801453179774</v>
      </c>
      <c r="E34" s="42">
        <v>259.00471841319813</v>
      </c>
      <c r="F34" s="42">
        <v>44.813160603184414</v>
      </c>
      <c r="G34" s="42">
        <v>78.664983558781373</v>
      </c>
      <c r="H34" s="42">
        <v>433.01895646057665</v>
      </c>
      <c r="I34" s="42">
        <v>127.52524330332986</v>
      </c>
      <c r="J34" s="42">
        <v>1486.9366445505577</v>
      </c>
      <c r="K34" s="42">
        <v>7.5251269816058314E-2</v>
      </c>
      <c r="L34" s="42">
        <v>3347.4127321060378</v>
      </c>
      <c r="M34" s="187">
        <v>991756.1811457607</v>
      </c>
    </row>
    <row r="35" spans="1:13" s="24" customFormat="1" ht="15" customHeight="1" x14ac:dyDescent="0.2">
      <c r="A35" s="8" t="s">
        <v>247</v>
      </c>
      <c r="B35" s="42">
        <v>796.1082659025725</v>
      </c>
      <c r="C35" s="42">
        <v>41.279460170487212</v>
      </c>
      <c r="D35" s="42">
        <v>102.56533354507269</v>
      </c>
      <c r="E35" s="42">
        <v>206.29551888979717</v>
      </c>
      <c r="F35" s="42">
        <v>44.57164230202936</v>
      </c>
      <c r="G35" s="42">
        <v>93.314761936657305</v>
      </c>
      <c r="H35" s="42">
        <v>416.90551657773807</v>
      </c>
      <c r="I35" s="42">
        <v>143.41457387597333</v>
      </c>
      <c r="J35" s="42">
        <v>1300.2557200724837</v>
      </c>
      <c r="K35" s="42">
        <v>7.2369320191658358E-4</v>
      </c>
      <c r="L35" s="42">
        <v>3144.7115169660133</v>
      </c>
      <c r="M35" s="187">
        <v>941272.63679937099</v>
      </c>
    </row>
    <row r="36" spans="1:13" s="24" customFormat="1" ht="15" customHeight="1" x14ac:dyDescent="0.2">
      <c r="A36" s="8" t="s">
        <v>339</v>
      </c>
      <c r="B36" s="42">
        <v>971.03528794889985</v>
      </c>
      <c r="C36" s="42">
        <v>46.857701791051241</v>
      </c>
      <c r="D36" s="42">
        <v>137.996766438002</v>
      </c>
      <c r="E36" s="42">
        <v>254.57553156011681</v>
      </c>
      <c r="F36" s="42">
        <v>59.154815960804036</v>
      </c>
      <c r="G36" s="42">
        <v>97.093167775923575</v>
      </c>
      <c r="H36" s="42">
        <v>464.49867492678061</v>
      </c>
      <c r="I36" s="42">
        <v>159.29205216834094</v>
      </c>
      <c r="J36" s="42">
        <v>1532.4856801597634</v>
      </c>
      <c r="K36" s="42">
        <v>0</v>
      </c>
      <c r="L36" s="42">
        <v>3722.9896787296825</v>
      </c>
      <c r="M36" s="187">
        <v>1122766.5934466708</v>
      </c>
    </row>
    <row r="37" spans="1:13" s="24" customFormat="1" ht="15" customHeight="1" x14ac:dyDescent="0.2">
      <c r="A37" s="8" t="s">
        <v>340</v>
      </c>
      <c r="B37" s="42">
        <v>840.79683011158977</v>
      </c>
      <c r="C37" s="42">
        <v>47.191577620429356</v>
      </c>
      <c r="D37" s="42">
        <v>108.20575850209551</v>
      </c>
      <c r="E37" s="42">
        <v>251.12910487148201</v>
      </c>
      <c r="F37" s="42">
        <v>52.329249293518494</v>
      </c>
      <c r="G37" s="42">
        <v>94.597597618669909</v>
      </c>
      <c r="H37" s="42">
        <v>398.81464290365773</v>
      </c>
      <c r="I37" s="42">
        <v>169.51068553602028</v>
      </c>
      <c r="J37" s="42">
        <v>1403.685153057289</v>
      </c>
      <c r="K37" s="42">
        <v>0</v>
      </c>
      <c r="L37" s="42">
        <v>3366.2605995147524</v>
      </c>
      <c r="M37" s="187">
        <v>1030850.109715458</v>
      </c>
    </row>
    <row r="38" spans="1:13" s="24" customFormat="1" ht="15" customHeight="1" x14ac:dyDescent="0.2">
      <c r="A38" s="173" t="s">
        <v>384</v>
      </c>
      <c r="B38" s="176">
        <v>834.59097550783952</v>
      </c>
      <c r="C38" s="176">
        <v>43.198531551552598</v>
      </c>
      <c r="D38" s="176">
        <v>121.01882232361055</v>
      </c>
      <c r="E38" s="176">
        <v>308.9139373587351</v>
      </c>
      <c r="F38" s="176">
        <v>51.732831419929795</v>
      </c>
      <c r="G38" s="176">
        <v>105.45034638019332</v>
      </c>
      <c r="H38" s="176">
        <v>442.09910286565668</v>
      </c>
      <c r="I38" s="176">
        <v>173.74810700983272</v>
      </c>
      <c r="J38" s="176">
        <v>1380.2909003635755</v>
      </c>
      <c r="K38" s="176">
        <v>0</v>
      </c>
      <c r="L38" s="176">
        <v>3461.0435547809257</v>
      </c>
      <c r="M38" s="188">
        <v>1074252.4683380187</v>
      </c>
    </row>
    <row r="39" spans="1:13" s="24" customFormat="1" ht="15" customHeight="1" x14ac:dyDescent="0.2">
      <c r="A39" s="8"/>
      <c r="B39" s="21"/>
      <c r="C39" s="22"/>
      <c r="D39" s="21"/>
      <c r="E39" s="21"/>
      <c r="F39" s="22"/>
      <c r="G39" s="22"/>
      <c r="I39" s="25"/>
      <c r="J39" s="25"/>
      <c r="K39" s="25"/>
      <c r="L39" s="26"/>
      <c r="M39" s="27"/>
    </row>
    <row r="40" spans="1:13" s="24" customFormat="1" ht="15" customHeight="1" x14ac:dyDescent="0.2">
      <c r="A40" s="10">
        <v>43831</v>
      </c>
      <c r="B40" s="36">
        <v>194.95037144246308</v>
      </c>
      <c r="C40" s="36">
        <v>10.65497989014551</v>
      </c>
      <c r="D40" s="36">
        <v>31.092747971925583</v>
      </c>
      <c r="E40" s="36">
        <v>82.799869251644949</v>
      </c>
      <c r="F40" s="36">
        <v>5.905729787060455</v>
      </c>
      <c r="G40" s="36">
        <v>17.754582103111517</v>
      </c>
      <c r="H40" s="36">
        <v>129.49037490656193</v>
      </c>
      <c r="I40" s="36">
        <v>36.878351107695764</v>
      </c>
      <c r="J40" s="36">
        <v>495.35808615683487</v>
      </c>
      <c r="K40" s="36">
        <v>0</v>
      </c>
      <c r="L40" s="37">
        <v>1004.8850926174435</v>
      </c>
      <c r="M40" s="40">
        <v>182289.77338713768</v>
      </c>
    </row>
    <row r="41" spans="1:13" s="24" customFormat="1" ht="15" customHeight="1" x14ac:dyDescent="0.2">
      <c r="A41" s="10">
        <v>43862</v>
      </c>
      <c r="B41" s="36">
        <v>204.22616092062913</v>
      </c>
      <c r="C41" s="36">
        <v>10.044119610404774</v>
      </c>
      <c r="D41" s="36">
        <v>30.722756164809091</v>
      </c>
      <c r="E41" s="36">
        <v>57.834175347861695</v>
      </c>
      <c r="F41" s="36">
        <v>6.0452432932296709</v>
      </c>
      <c r="G41" s="36">
        <v>15.91305978427299</v>
      </c>
      <c r="H41" s="36">
        <v>128.10977155507626</v>
      </c>
      <c r="I41" s="36">
        <v>39.605083188847054</v>
      </c>
      <c r="J41" s="36">
        <v>496.01665026062608</v>
      </c>
      <c r="K41" s="36">
        <v>0</v>
      </c>
      <c r="L41" s="37">
        <v>988.51702012575663</v>
      </c>
      <c r="M41" s="40">
        <v>179477.91802168873</v>
      </c>
    </row>
    <row r="42" spans="1:13" s="24" customFormat="1" ht="15" customHeight="1" x14ac:dyDescent="0.2">
      <c r="A42" s="10">
        <v>43891</v>
      </c>
      <c r="B42" s="36">
        <v>137.19360103146767</v>
      </c>
      <c r="C42" s="36">
        <v>6.6282676444570772</v>
      </c>
      <c r="D42" s="36">
        <v>20.479472896685181</v>
      </c>
      <c r="E42" s="36">
        <v>37.021430168257695</v>
      </c>
      <c r="F42" s="36">
        <v>4.4338080058706328</v>
      </c>
      <c r="G42" s="36">
        <v>13.819922131973605</v>
      </c>
      <c r="H42" s="36">
        <v>76.766190201813828</v>
      </c>
      <c r="I42" s="36">
        <v>24.259146218429272</v>
      </c>
      <c r="J42" s="36">
        <v>335.61661121094238</v>
      </c>
      <c r="K42" s="36">
        <v>0</v>
      </c>
      <c r="L42" s="37">
        <v>656.21844950989725</v>
      </c>
      <c r="M42" s="40">
        <v>121437.62074541821</v>
      </c>
    </row>
    <row r="43" spans="1:13" s="24" customFormat="1" ht="15" customHeight="1" x14ac:dyDescent="0.2">
      <c r="A43" s="10">
        <v>43922</v>
      </c>
      <c r="B43" s="36">
        <v>121.19305701000698</v>
      </c>
      <c r="C43" s="36">
        <v>3.5719621162449364</v>
      </c>
      <c r="D43" s="36">
        <v>12.344980728734539</v>
      </c>
      <c r="E43" s="36">
        <v>14.521662981023482</v>
      </c>
      <c r="F43" s="36">
        <v>2.8622387347774612</v>
      </c>
      <c r="G43" s="36">
        <v>11.228183223589149</v>
      </c>
      <c r="H43" s="36">
        <v>31.256108746026367</v>
      </c>
      <c r="I43" s="36">
        <v>10.25455683340118</v>
      </c>
      <c r="J43" s="36">
        <v>75.0736207548577</v>
      </c>
      <c r="K43" s="36">
        <v>3.9732263547307411E-3</v>
      </c>
      <c r="L43" s="37">
        <v>282.31034435501653</v>
      </c>
      <c r="M43" s="40">
        <v>54510.005763926107</v>
      </c>
    </row>
    <row r="44" spans="1:13" s="24" customFormat="1" ht="15" customHeight="1" x14ac:dyDescent="0.2">
      <c r="A44" s="10">
        <v>43952</v>
      </c>
      <c r="B44" s="36">
        <v>185.2389349958747</v>
      </c>
      <c r="C44" s="36">
        <v>5.8672279509222047</v>
      </c>
      <c r="D44" s="36">
        <v>25.672800425837703</v>
      </c>
      <c r="E44" s="36">
        <v>10.603540626549783</v>
      </c>
      <c r="F44" s="36">
        <v>6.3892644824741174</v>
      </c>
      <c r="G44" s="36">
        <v>17.228190929656936</v>
      </c>
      <c r="H44" s="36">
        <v>82.186639327229656</v>
      </c>
      <c r="I44" s="36">
        <v>23.977890990871106</v>
      </c>
      <c r="J44" s="36">
        <v>229.52278433662471</v>
      </c>
      <c r="K44" s="36">
        <v>0</v>
      </c>
      <c r="L44" s="37">
        <v>586.68727406604091</v>
      </c>
      <c r="M44" s="40">
        <v>110218.00474241677</v>
      </c>
    </row>
    <row r="45" spans="1:13" s="24" customFormat="1" ht="15" customHeight="1" x14ac:dyDescent="0.2">
      <c r="A45" s="10">
        <v>43983</v>
      </c>
      <c r="B45" s="36">
        <v>235.3921276333727</v>
      </c>
      <c r="C45" s="36">
        <v>10.742795441895733</v>
      </c>
      <c r="D45" s="36">
        <v>34.348198957271805</v>
      </c>
      <c r="E45" s="36">
        <v>16.699904475492609</v>
      </c>
      <c r="F45" s="36">
        <v>8.5293591227961674</v>
      </c>
      <c r="G45" s="36">
        <v>20.740362922112666</v>
      </c>
      <c r="H45" s="36">
        <v>147.63633112723809</v>
      </c>
      <c r="I45" s="36">
        <v>36.678592628841997</v>
      </c>
      <c r="J45" s="36">
        <v>383.36762668136566</v>
      </c>
      <c r="K45" s="36">
        <v>0</v>
      </c>
      <c r="L45" s="37">
        <v>894.13529899038747</v>
      </c>
      <c r="M45" s="40">
        <v>166268.482456108</v>
      </c>
    </row>
    <row r="46" spans="1:13" s="24" customFormat="1" ht="15" customHeight="1" x14ac:dyDescent="0.2">
      <c r="A46" s="10">
        <v>44013</v>
      </c>
      <c r="B46" s="36">
        <v>289.87681222951784</v>
      </c>
      <c r="C46" s="36">
        <v>11.725702084545116</v>
      </c>
      <c r="D46" s="36">
        <v>42.805855817124353</v>
      </c>
      <c r="E46" s="36">
        <v>26.681399002320791</v>
      </c>
      <c r="F46" s="36">
        <v>11.32180931585747</v>
      </c>
      <c r="G46" s="36">
        <v>22.345257459428019</v>
      </c>
      <c r="H46" s="36">
        <v>151.3030738520097</v>
      </c>
      <c r="I46" s="36">
        <v>38.631431137263803</v>
      </c>
      <c r="J46" s="36">
        <v>490.32449100795441</v>
      </c>
      <c r="K46" s="36">
        <v>5.2427485366024484E-3</v>
      </c>
      <c r="L46" s="37">
        <v>1085.0210746545581</v>
      </c>
      <c r="M46" s="40">
        <v>201649.7561971526</v>
      </c>
    </row>
    <row r="47" spans="1:13" s="24" customFormat="1" ht="15" customHeight="1" x14ac:dyDescent="0.2">
      <c r="A47" s="10">
        <v>44044</v>
      </c>
      <c r="B47" s="36">
        <v>214.23553395758324</v>
      </c>
      <c r="C47" s="36">
        <v>14.768990107299377</v>
      </c>
      <c r="D47" s="36">
        <v>32.632850910711497</v>
      </c>
      <c r="E47" s="36">
        <v>21.962563443236508</v>
      </c>
      <c r="F47" s="36">
        <v>10.569368643313815</v>
      </c>
      <c r="G47" s="36">
        <v>21.358973216531211</v>
      </c>
      <c r="H47" s="36">
        <v>122.00592883448292</v>
      </c>
      <c r="I47" s="36">
        <v>36.188217090991103</v>
      </c>
      <c r="J47" s="36">
        <v>473.50619095356853</v>
      </c>
      <c r="K47" s="36">
        <v>0</v>
      </c>
      <c r="L47" s="37">
        <v>947.2286171577183</v>
      </c>
      <c r="M47" s="40">
        <v>175136.79321789744</v>
      </c>
    </row>
    <row r="48" spans="1:13" s="24" customFormat="1" ht="15" customHeight="1" x14ac:dyDescent="0.2">
      <c r="A48" s="10">
        <v>44075</v>
      </c>
      <c r="B48" s="36">
        <v>228.333662512964</v>
      </c>
      <c r="C48" s="36">
        <v>12.491854130940805</v>
      </c>
      <c r="D48" s="36">
        <v>35.823962175129992</v>
      </c>
      <c r="E48" s="36">
        <v>28.640634215490913</v>
      </c>
      <c r="F48" s="36">
        <v>11.43491090986031</v>
      </c>
      <c r="G48" s="36">
        <v>19.598605817273473</v>
      </c>
      <c r="H48" s="36">
        <v>128.01742429778247</v>
      </c>
      <c r="I48" s="36">
        <v>42.753040300661993</v>
      </c>
      <c r="J48" s="36">
        <v>492.92006711352707</v>
      </c>
      <c r="K48" s="36">
        <v>2.7967132118192239E-2</v>
      </c>
      <c r="L48" s="37">
        <v>1000.0421286057493</v>
      </c>
      <c r="M48" s="40">
        <v>185039.49512754043</v>
      </c>
    </row>
    <row r="49" spans="1:13" s="24" customFormat="1" ht="15" customHeight="1" x14ac:dyDescent="0.2">
      <c r="A49" s="10">
        <v>44105</v>
      </c>
      <c r="B49" s="36">
        <v>207.05043928606864</v>
      </c>
      <c r="C49" s="36">
        <v>10.40765143715039</v>
      </c>
      <c r="D49" s="36">
        <v>35.25423252487694</v>
      </c>
      <c r="E49" s="36">
        <v>24.355692643472082</v>
      </c>
      <c r="F49" s="36">
        <v>10.5498686495563</v>
      </c>
      <c r="G49" s="36">
        <v>22.66936918062936</v>
      </c>
      <c r="H49" s="36">
        <v>105.47768798213384</v>
      </c>
      <c r="I49" s="36">
        <v>24.33967851509912</v>
      </c>
      <c r="J49" s="36">
        <v>414.1707507237395</v>
      </c>
      <c r="K49" s="36">
        <v>0</v>
      </c>
      <c r="L49" s="37">
        <v>854.27537094272611</v>
      </c>
      <c r="M49" s="40">
        <v>157560.75543839743</v>
      </c>
    </row>
    <row r="50" spans="1:13" s="24" customFormat="1" ht="15" customHeight="1" x14ac:dyDescent="0.2">
      <c r="A50" s="10">
        <v>44136</v>
      </c>
      <c r="B50" s="36">
        <v>185.57254511922298</v>
      </c>
      <c r="C50" s="36">
        <v>6.942952542424246</v>
      </c>
      <c r="D50" s="36">
        <v>35.112493010917362</v>
      </c>
      <c r="E50" s="36">
        <v>21.268084641543595</v>
      </c>
      <c r="F50" s="36">
        <v>9.2501417731218769</v>
      </c>
      <c r="G50" s="36">
        <v>19.678604937977639</v>
      </c>
      <c r="H50" s="36">
        <v>119.1026214069405</v>
      </c>
      <c r="I50" s="36">
        <v>37.242889692090728</v>
      </c>
      <c r="J50" s="36">
        <v>349.48560864817119</v>
      </c>
      <c r="K50" s="36">
        <v>2.7869743917108281E-6</v>
      </c>
      <c r="L50" s="37">
        <v>783.65594455938458</v>
      </c>
      <c r="M50" s="40">
        <v>144810.37141442846</v>
      </c>
    </row>
    <row r="51" spans="1:13" s="24" customFormat="1" ht="15" customHeight="1" x14ac:dyDescent="0.2">
      <c r="A51" s="10">
        <v>44166</v>
      </c>
      <c r="B51" s="36">
        <v>206.06127376962124</v>
      </c>
      <c r="C51" s="36">
        <v>12.708896529691392</v>
      </c>
      <c r="D51" s="36">
        <v>32.329454419277042</v>
      </c>
      <c r="E51" s="36">
        <v>31.171102063409787</v>
      </c>
      <c r="F51" s="36">
        <v>9.3270274791085903</v>
      </c>
      <c r="G51" s="36">
        <v>21.623357685720116</v>
      </c>
      <c r="H51" s="36">
        <v>122.68031922068445</v>
      </c>
      <c r="I51" s="36">
        <v>45.270957420096565</v>
      </c>
      <c r="J51" s="36">
        <v>483.19318616230601</v>
      </c>
      <c r="K51" s="36">
        <v>8.5269523491206201E-2</v>
      </c>
      <c r="L51" s="37">
        <v>964.45084427340635</v>
      </c>
      <c r="M51" s="40">
        <v>180528.03082295359</v>
      </c>
    </row>
    <row r="52" spans="1:13" s="24" customFormat="1" ht="15" customHeight="1" x14ac:dyDescent="0.2">
      <c r="A52" s="11">
        <v>44197</v>
      </c>
      <c r="B52" s="21">
        <v>209.22818223146612</v>
      </c>
      <c r="C52" s="21">
        <v>10.456186093049675</v>
      </c>
      <c r="D52" s="21">
        <v>31.009646971680674</v>
      </c>
      <c r="E52" s="21">
        <v>34.399055630047371</v>
      </c>
      <c r="F52" s="21">
        <v>7.1153187643772586</v>
      </c>
      <c r="G52" s="21">
        <v>21.595676538307686</v>
      </c>
      <c r="H52" s="21">
        <v>131.6769177255924</v>
      </c>
      <c r="I52" s="21">
        <v>46.85485813562579</v>
      </c>
      <c r="J52" s="21">
        <v>444.13942211685753</v>
      </c>
      <c r="K52" s="21">
        <v>0.18701727843392746</v>
      </c>
      <c r="L52" s="22">
        <v>936.66228148543848</v>
      </c>
      <c r="M52" s="28">
        <v>178426.48399226787</v>
      </c>
    </row>
    <row r="53" spans="1:13" s="24" customFormat="1" ht="15" customHeight="1" x14ac:dyDescent="0.2">
      <c r="A53" s="11">
        <v>44228</v>
      </c>
      <c r="B53" s="21">
        <v>209.91066632829467</v>
      </c>
      <c r="C53" s="21">
        <v>9.3224605019413449</v>
      </c>
      <c r="D53" s="21">
        <v>32.870036188626059</v>
      </c>
      <c r="E53" s="21">
        <v>22.670820613411948</v>
      </c>
      <c r="F53" s="21">
        <v>10.111368072284501</v>
      </c>
      <c r="G53" s="21">
        <v>21.176642181932483</v>
      </c>
      <c r="H53" s="21">
        <v>123.27042262317299</v>
      </c>
      <c r="I53" s="21">
        <v>47.239439310751735</v>
      </c>
      <c r="J53" s="21">
        <v>475.15271822803004</v>
      </c>
      <c r="K53" s="21">
        <v>0</v>
      </c>
      <c r="L53" s="22">
        <v>951.7245740484459</v>
      </c>
      <c r="M53" s="28">
        <v>184697.85704957272</v>
      </c>
    </row>
    <row r="54" spans="1:13" s="24" customFormat="1" ht="15" customHeight="1" x14ac:dyDescent="0.2">
      <c r="A54" s="11">
        <v>44256</v>
      </c>
      <c r="B54" s="21">
        <v>256.76107801962104</v>
      </c>
      <c r="C54" s="21">
        <v>13.760875280799056</v>
      </c>
      <c r="D54" s="21">
        <v>46.753891838107435</v>
      </c>
      <c r="E54" s="21">
        <v>28.76304357489802</v>
      </c>
      <c r="F54" s="21">
        <v>12.553149538664602</v>
      </c>
      <c r="G54" s="21">
        <v>24.522515045752794</v>
      </c>
      <c r="H54" s="21">
        <v>152.23725514703082</v>
      </c>
      <c r="I54" s="21">
        <v>54.041211935070372</v>
      </c>
      <c r="J54" s="21">
        <v>504.38083170840054</v>
      </c>
      <c r="K54" s="21">
        <v>0</v>
      </c>
      <c r="L54" s="22">
        <v>1093.7738520883445</v>
      </c>
      <c r="M54" s="28">
        <v>215454.30781899233</v>
      </c>
    </row>
    <row r="55" spans="1:13" s="24" customFormat="1" ht="15" customHeight="1" x14ac:dyDescent="0.2">
      <c r="A55" s="11">
        <v>44287</v>
      </c>
      <c r="B55" s="21">
        <v>171.99049538807535</v>
      </c>
      <c r="C55" s="21">
        <v>8.6743094928149205</v>
      </c>
      <c r="D55" s="21">
        <v>29.714521914873139</v>
      </c>
      <c r="E55" s="21">
        <v>36.284892764763427</v>
      </c>
      <c r="F55" s="21">
        <v>8.1873112403316739</v>
      </c>
      <c r="G55" s="21">
        <v>17.644233924112186</v>
      </c>
      <c r="H55" s="21">
        <v>105.01029327889862</v>
      </c>
      <c r="I55" s="21">
        <v>36.990344184821424</v>
      </c>
      <c r="J55" s="21">
        <v>403.68785802059529</v>
      </c>
      <c r="K55" s="21">
        <v>0</v>
      </c>
      <c r="L55" s="22">
        <v>818.18426020928609</v>
      </c>
      <c r="M55" s="28">
        <v>161528.39120329788</v>
      </c>
    </row>
    <row r="56" spans="1:13" s="24" customFormat="1" ht="15" customHeight="1" x14ac:dyDescent="0.2">
      <c r="A56" s="11">
        <v>44317</v>
      </c>
      <c r="B56" s="21">
        <v>204.15232980283562</v>
      </c>
      <c r="C56" s="21">
        <v>9.0223706576706526</v>
      </c>
      <c r="D56" s="21">
        <v>32.76405063614596</v>
      </c>
      <c r="E56" s="21">
        <v>33.258666099072009</v>
      </c>
      <c r="F56" s="21">
        <v>8.408115040882393</v>
      </c>
      <c r="G56" s="21">
        <v>26.74687486565854</v>
      </c>
      <c r="H56" s="21">
        <v>131.43961667402363</v>
      </c>
      <c r="I56" s="21">
        <v>47.492018306012433</v>
      </c>
      <c r="J56" s="21">
        <v>398.29535003935672</v>
      </c>
      <c r="K56" s="21">
        <v>0.12382799883960161</v>
      </c>
      <c r="L56" s="22">
        <v>891.70322012049758</v>
      </c>
      <c r="M56" s="28">
        <v>177970.31967678346</v>
      </c>
    </row>
    <row r="57" spans="1:13" s="24" customFormat="1" ht="15" customHeight="1" x14ac:dyDescent="0.2">
      <c r="A57" s="11">
        <v>44348</v>
      </c>
      <c r="B57" s="21">
        <v>226.81101264612812</v>
      </c>
      <c r="C57" s="21">
        <v>13.659442092003598</v>
      </c>
      <c r="D57" s="21">
        <v>36.176451602248271</v>
      </c>
      <c r="E57" s="21">
        <v>41.301990864079869</v>
      </c>
      <c r="F57" s="21">
        <v>10.233610549900634</v>
      </c>
      <c r="G57" s="21">
        <v>27.467358681307463</v>
      </c>
      <c r="H57" s="21">
        <v>149.40100367287718</v>
      </c>
      <c r="I57" s="21">
        <v>56.754632499583373</v>
      </c>
      <c r="J57" s="21">
        <v>445.20919869319846</v>
      </c>
      <c r="K57" s="21">
        <v>0</v>
      </c>
      <c r="L57" s="22">
        <v>1007.0147013013269</v>
      </c>
      <c r="M57" s="28">
        <v>201217.75025669608</v>
      </c>
    </row>
    <row r="58" spans="1:13" s="24" customFormat="1" ht="15" customHeight="1" x14ac:dyDescent="0.2">
      <c r="A58" s="11">
        <v>44378</v>
      </c>
      <c r="B58" s="21">
        <v>275.36306738047927</v>
      </c>
      <c r="C58" s="21">
        <v>10.416544531442991</v>
      </c>
      <c r="D58" s="21">
        <v>37.541630445979507</v>
      </c>
      <c r="E58" s="21">
        <v>51.951645849531573</v>
      </c>
      <c r="F58" s="21">
        <v>12.704733270393012</v>
      </c>
      <c r="G58" s="21">
        <v>24.766842394505794</v>
      </c>
      <c r="H58" s="21">
        <v>146.04679807458626</v>
      </c>
      <c r="I58" s="21">
        <v>54.822877789434621</v>
      </c>
      <c r="J58" s="21">
        <v>490.31928965115122</v>
      </c>
      <c r="K58" s="21">
        <v>0</v>
      </c>
      <c r="L58" s="22">
        <v>1103.9334293875042</v>
      </c>
      <c r="M58" s="28">
        <v>220762.17855536845</v>
      </c>
    </row>
    <row r="59" spans="1:13" s="24" customFormat="1" ht="15" customHeight="1" x14ac:dyDescent="0.2">
      <c r="A59" s="11">
        <v>44409</v>
      </c>
      <c r="B59" s="21">
        <v>241.41772027441877</v>
      </c>
      <c r="C59" s="21">
        <v>14.59900939417895</v>
      </c>
      <c r="D59" s="21">
        <v>37.640844179324823</v>
      </c>
      <c r="E59" s="21">
        <v>46.266227122196597</v>
      </c>
      <c r="F59" s="21">
        <v>13.722393084168552</v>
      </c>
      <c r="G59" s="21">
        <v>23.850807839538348</v>
      </c>
      <c r="H59" s="21">
        <v>157.21221907115586</v>
      </c>
      <c r="I59" s="21">
        <v>48.623317259902294</v>
      </c>
      <c r="J59" s="21">
        <v>517.70233641983771</v>
      </c>
      <c r="K59" s="21">
        <v>0</v>
      </c>
      <c r="L59" s="22">
        <v>1101.0348746447219</v>
      </c>
      <c r="M59" s="28">
        <v>220753.63874420547</v>
      </c>
    </row>
    <row r="60" spans="1:13" s="24" customFormat="1" ht="15" customHeight="1" x14ac:dyDescent="0.2">
      <c r="A60" s="11">
        <v>44440</v>
      </c>
      <c r="B60" s="21">
        <v>223.87924184274337</v>
      </c>
      <c r="C60" s="21">
        <v>9.2726685291738331</v>
      </c>
      <c r="D60" s="21">
        <v>37.512018438919959</v>
      </c>
      <c r="E60" s="21">
        <v>53.732294113166255</v>
      </c>
      <c r="F60" s="21">
        <v>9.8246956122658133</v>
      </c>
      <c r="G60" s="21">
        <v>24.137345491613768</v>
      </c>
      <c r="H60" s="21">
        <v>133.30366495565531</v>
      </c>
      <c r="I60" s="21">
        <v>43.736339762498162</v>
      </c>
      <c r="J60" s="21">
        <v>498.61212209967238</v>
      </c>
      <c r="K60" s="21">
        <v>0.44713378366191137</v>
      </c>
      <c r="L60" s="22">
        <v>1034.4575246293707</v>
      </c>
      <c r="M60" s="28">
        <v>208945.73067828314</v>
      </c>
    </row>
    <row r="61" spans="1:13" s="24" customFormat="1" ht="15" customHeight="1" x14ac:dyDescent="0.2">
      <c r="A61" s="11">
        <v>44470</v>
      </c>
      <c r="B61" s="21">
        <v>277.59364621992455</v>
      </c>
      <c r="C61" s="21">
        <v>13.471371351818267</v>
      </c>
      <c r="D61" s="21">
        <v>36.096365879141615</v>
      </c>
      <c r="E61" s="21">
        <v>47.716153616605396</v>
      </c>
      <c r="F61" s="21">
        <v>12.77969273941655</v>
      </c>
      <c r="G61" s="21">
        <v>23.995672184430944</v>
      </c>
      <c r="H61" s="21">
        <v>155.05350378611755</v>
      </c>
      <c r="I61" s="21">
        <v>87.11112145363839</v>
      </c>
      <c r="J61" s="21">
        <v>538.51777952050293</v>
      </c>
      <c r="K61" s="21">
        <v>1.1326575827297347E-3</v>
      </c>
      <c r="L61" s="22">
        <v>1192.3364394091789</v>
      </c>
      <c r="M61" s="28">
        <v>239766.81536714782</v>
      </c>
    </row>
    <row r="62" spans="1:13" s="24" customFormat="1" ht="15" customHeight="1" x14ac:dyDescent="0.2">
      <c r="A62" s="11">
        <v>44501</v>
      </c>
      <c r="B62" s="21">
        <v>302.8515682444409</v>
      </c>
      <c r="C62" s="21">
        <v>14.936439059696362</v>
      </c>
      <c r="D62" s="21">
        <v>39.073927757207784</v>
      </c>
      <c r="E62" s="21">
        <v>59.064714520886319</v>
      </c>
      <c r="F62" s="21">
        <v>11.606383689144161</v>
      </c>
      <c r="G62" s="21">
        <v>26.098708543918452</v>
      </c>
      <c r="H62" s="21">
        <v>161.06201000999712</v>
      </c>
      <c r="I62" s="21">
        <v>56.555828423120786</v>
      </c>
      <c r="J62" s="21">
        <v>539.67831381137853</v>
      </c>
      <c r="K62" s="21">
        <v>0.54117822312878161</v>
      </c>
      <c r="L62" s="22">
        <v>1211.4690722829193</v>
      </c>
      <c r="M62" s="28">
        <v>244544.96628669999</v>
      </c>
    </row>
    <row r="63" spans="1:13" s="24" customFormat="1" ht="15" customHeight="1" x14ac:dyDescent="0.2">
      <c r="A63" s="11">
        <v>44531</v>
      </c>
      <c r="B63" s="21">
        <v>245.99875745659114</v>
      </c>
      <c r="C63" s="21">
        <v>17.648984821175873</v>
      </c>
      <c r="D63" s="21">
        <v>36.059419192746738</v>
      </c>
      <c r="E63" s="21">
        <v>50.973301847871141</v>
      </c>
      <c r="F63" s="21">
        <v>11.656978108133606</v>
      </c>
      <c r="G63" s="21">
        <v>29.692127984746698</v>
      </c>
      <c r="H63" s="21">
        <v>155.01147748002722</v>
      </c>
      <c r="I63" s="21">
        <v>51.586689511864506</v>
      </c>
      <c r="J63" s="21">
        <v>557.40945214723013</v>
      </c>
      <c r="K63" s="21">
        <v>0.2481456263437849</v>
      </c>
      <c r="L63" s="22">
        <v>1156.2853341767309</v>
      </c>
      <c r="M63" s="28">
        <v>232874.71001785941</v>
      </c>
    </row>
    <row r="64" spans="1:13" s="24" customFormat="1" ht="15" customHeight="1" x14ac:dyDescent="0.2">
      <c r="A64" s="10">
        <v>44562</v>
      </c>
      <c r="B64" s="36">
        <v>215.79893154483145</v>
      </c>
      <c r="C64" s="36">
        <v>8.6975115243514125</v>
      </c>
      <c r="D64" s="36">
        <v>38.022076731060075</v>
      </c>
      <c r="E64" s="36">
        <v>67.160254757112966</v>
      </c>
      <c r="F64" s="36">
        <v>6.8498849128408104</v>
      </c>
      <c r="G64" s="36">
        <v>20.7948308214789</v>
      </c>
      <c r="H64" s="36">
        <v>145.74647757815637</v>
      </c>
      <c r="I64" s="36">
        <v>52.207001698064225</v>
      </c>
      <c r="J64" s="36">
        <v>547.32640476167364</v>
      </c>
      <c r="K64" s="36">
        <v>9.270110376746743E-5</v>
      </c>
      <c r="L64" s="37">
        <v>1102.6034670306735</v>
      </c>
      <c r="M64" s="40">
        <v>222135.67670429451</v>
      </c>
    </row>
    <row r="65" spans="1:13" s="24" customFormat="1" ht="15" customHeight="1" x14ac:dyDescent="0.2">
      <c r="A65" s="10">
        <v>44593</v>
      </c>
      <c r="B65" s="36">
        <v>213.19458074455653</v>
      </c>
      <c r="C65" s="36">
        <v>12.334460037415202</v>
      </c>
      <c r="D65" s="36">
        <v>42.348248673267371</v>
      </c>
      <c r="E65" s="36">
        <v>56.817243917847833</v>
      </c>
      <c r="F65" s="36">
        <v>9.1202358228220817</v>
      </c>
      <c r="G65" s="36">
        <v>19.40026868752361</v>
      </c>
      <c r="H65" s="36">
        <v>152.56281586125846</v>
      </c>
      <c r="I65" s="36">
        <v>54.683446803300555</v>
      </c>
      <c r="J65" s="36">
        <v>532.87610919641179</v>
      </c>
      <c r="K65" s="36">
        <v>4.2715685117400426E-4</v>
      </c>
      <c r="L65" s="37">
        <v>1093.3378369012546</v>
      </c>
      <c r="M65" s="40">
        <v>220565.82053267889</v>
      </c>
    </row>
    <row r="66" spans="1:13" s="24" customFormat="1" ht="15" customHeight="1" x14ac:dyDescent="0.2">
      <c r="A66" s="10">
        <v>44621</v>
      </c>
      <c r="B66" s="36">
        <v>203.90514936391773</v>
      </c>
      <c r="C66" s="36">
        <v>12.289694114455328</v>
      </c>
      <c r="D66" s="36">
        <v>40.681844679664174</v>
      </c>
      <c r="E66" s="36">
        <v>55.544110922395191</v>
      </c>
      <c r="F66" s="36">
        <v>9.4104192713209613</v>
      </c>
      <c r="G66" s="36">
        <v>23.88487004516276</v>
      </c>
      <c r="H66" s="36">
        <v>163.20567928716878</v>
      </c>
      <c r="I66" s="36">
        <v>56.50976189964274</v>
      </c>
      <c r="J66" s="36">
        <v>492.49553761702293</v>
      </c>
      <c r="K66" s="36">
        <v>0.30497623022870357</v>
      </c>
      <c r="L66" s="37">
        <v>1058.2320434309793</v>
      </c>
      <c r="M66" s="40">
        <v>270704.32838919631</v>
      </c>
    </row>
    <row r="67" spans="1:13" s="24" customFormat="1" ht="15" customHeight="1" x14ac:dyDescent="0.2">
      <c r="A67" s="10">
        <v>44652</v>
      </c>
      <c r="B67" s="36">
        <v>183.43330723352463</v>
      </c>
      <c r="C67" s="36">
        <v>9.5845658501554603</v>
      </c>
      <c r="D67" s="36">
        <v>35.585961594087664</v>
      </c>
      <c r="E67" s="36">
        <v>58.500645984080194</v>
      </c>
      <c r="F67" s="36">
        <v>8.9651887895206741</v>
      </c>
      <c r="G67" s="36">
        <v>23.492879742199172</v>
      </c>
      <c r="H67" s="36">
        <v>130.4481885586795</v>
      </c>
      <c r="I67" s="36">
        <v>49.027214175163813</v>
      </c>
      <c r="J67" s="36">
        <v>471.57794496541192</v>
      </c>
      <c r="K67" s="36">
        <v>0.29014809961415722</v>
      </c>
      <c r="L67" s="37">
        <v>970.90604499243716</v>
      </c>
      <c r="M67" s="40">
        <v>310146.61537480215</v>
      </c>
    </row>
    <row r="68" spans="1:13" s="24" customFormat="1" ht="15" customHeight="1" x14ac:dyDescent="0.2">
      <c r="A68" s="10">
        <v>44682</v>
      </c>
      <c r="B68" s="36">
        <v>193.16121233691518</v>
      </c>
      <c r="C68" s="36">
        <v>12.143603729324482</v>
      </c>
      <c r="D68" s="36">
        <v>37.191676644220891</v>
      </c>
      <c r="E68" s="36">
        <v>53.04619142927681</v>
      </c>
      <c r="F68" s="36">
        <v>9.2525387238500141</v>
      </c>
      <c r="G68" s="36">
        <v>23.762534985053172</v>
      </c>
      <c r="H68" s="36">
        <v>162.51492924343694</v>
      </c>
      <c r="I68" s="36">
        <v>54.46487273324994</v>
      </c>
      <c r="J68" s="36">
        <v>502.76286726591195</v>
      </c>
      <c r="K68" s="36">
        <v>3.3178618082274625E-4</v>
      </c>
      <c r="L68" s="37">
        <v>1048.3007588774201</v>
      </c>
      <c r="M68" s="40">
        <v>376276.02609070233</v>
      </c>
    </row>
    <row r="69" spans="1:13" s="24" customFormat="1" ht="15" customHeight="1" x14ac:dyDescent="0.2">
      <c r="A69" s="10">
        <v>44713</v>
      </c>
      <c r="B69" s="36">
        <v>272.715867084644</v>
      </c>
      <c r="C69" s="36">
        <v>13.032014116590254</v>
      </c>
      <c r="D69" s="36">
        <v>40.152490811752514</v>
      </c>
      <c r="E69" s="36">
        <v>54.245538055084516</v>
      </c>
      <c r="F69" s="36">
        <v>9.6300316258923147</v>
      </c>
      <c r="G69" s="36">
        <v>23.521410903979202</v>
      </c>
      <c r="H69" s="36">
        <v>172.85792095408985</v>
      </c>
      <c r="I69" s="36">
        <v>58.502859454789942</v>
      </c>
      <c r="J69" s="36">
        <v>603.98722746963756</v>
      </c>
      <c r="K69" s="36">
        <v>0.12749814014341609</v>
      </c>
      <c r="L69" s="37">
        <v>1248.7728586166036</v>
      </c>
      <c r="M69" s="40">
        <v>449861.43115204939</v>
      </c>
    </row>
    <row r="70" spans="1:13" s="24" customFormat="1" ht="15" customHeight="1" x14ac:dyDescent="0.2">
      <c r="A70" s="10">
        <v>44743</v>
      </c>
      <c r="B70" s="36">
        <v>235.50881108668881</v>
      </c>
      <c r="C70" s="36">
        <v>13.919577698377598</v>
      </c>
      <c r="D70" s="36">
        <v>33.324461751577566</v>
      </c>
      <c r="E70" s="36">
        <v>32.238802614684182</v>
      </c>
      <c r="F70" s="36">
        <v>7.6826991673511191</v>
      </c>
      <c r="G70" s="36">
        <v>26.331919127093123</v>
      </c>
      <c r="H70" s="36">
        <v>166.17694381781482</v>
      </c>
      <c r="I70" s="36">
        <v>65.311003531996349</v>
      </c>
      <c r="J70" s="36">
        <v>584.10432602274147</v>
      </c>
      <c r="K70" s="36">
        <v>0</v>
      </c>
      <c r="L70" s="37">
        <v>1164.5985448183251</v>
      </c>
      <c r="M70" s="40">
        <v>420271.47190509655</v>
      </c>
    </row>
    <row r="71" spans="1:13" s="24" customFormat="1" ht="15" customHeight="1" x14ac:dyDescent="0.2">
      <c r="A71" s="10">
        <v>44774</v>
      </c>
      <c r="B71" s="36">
        <v>268.78098514868356</v>
      </c>
      <c r="C71" s="36">
        <v>11.443505661938019</v>
      </c>
      <c r="D71" s="36">
        <v>36.442752350911348</v>
      </c>
      <c r="E71" s="36">
        <v>32.282575120440782</v>
      </c>
      <c r="F71" s="36">
        <v>7.9595659951861268</v>
      </c>
      <c r="G71" s="36">
        <v>23.321790969652767</v>
      </c>
      <c r="H71" s="36">
        <v>176.35008004433817</v>
      </c>
      <c r="I71" s="36">
        <v>62.011001533802236</v>
      </c>
      <c r="J71" s="36">
        <v>606.74331389186352</v>
      </c>
      <c r="K71" s="36">
        <v>3.5043926800199188E-2</v>
      </c>
      <c r="L71" s="37">
        <v>1225.3706146436166</v>
      </c>
      <c r="M71" s="40">
        <v>442356.70875630062</v>
      </c>
    </row>
    <row r="72" spans="1:13" s="24" customFormat="1" ht="15" customHeight="1" x14ac:dyDescent="0.2">
      <c r="A72" s="10">
        <v>44805</v>
      </c>
      <c r="B72" s="36">
        <v>238.12127194848759</v>
      </c>
      <c r="C72" s="36">
        <v>11.008714954857105</v>
      </c>
      <c r="D72" s="36">
        <v>33.901635531065786</v>
      </c>
      <c r="E72" s="36">
        <v>30.033600148215481</v>
      </c>
      <c r="F72" s="36">
        <v>5.4388232961516358</v>
      </c>
      <c r="G72" s="36">
        <v>25.583004953880234</v>
      </c>
      <c r="H72" s="36">
        <v>164.41418154715484</v>
      </c>
      <c r="I72" s="36">
        <v>59.639215950213952</v>
      </c>
      <c r="J72" s="36">
        <v>511.6644401054553</v>
      </c>
      <c r="K72" s="36">
        <v>2.5010072227587443E-2</v>
      </c>
      <c r="L72" s="37">
        <v>1079.8298985077095</v>
      </c>
      <c r="M72" s="40">
        <v>391311.56617895991</v>
      </c>
    </row>
    <row r="73" spans="1:13" s="24" customFormat="1" ht="15" customHeight="1" x14ac:dyDescent="0.2">
      <c r="A73" s="10">
        <v>44835</v>
      </c>
      <c r="B73" s="36">
        <v>226.51942640804697</v>
      </c>
      <c r="C73" s="36">
        <v>10.884434305644744</v>
      </c>
      <c r="D73" s="36">
        <v>42.134721028648343</v>
      </c>
      <c r="E73" s="36">
        <v>37.824112586015353</v>
      </c>
      <c r="F73" s="36">
        <v>5.4832405677678882</v>
      </c>
      <c r="G73" s="36">
        <v>24.656848888773844</v>
      </c>
      <c r="H73" s="36">
        <v>158.55208591391289</v>
      </c>
      <c r="I73" s="36">
        <v>69.646531764975421</v>
      </c>
      <c r="J73" s="36">
        <v>475.86244806918927</v>
      </c>
      <c r="K73" s="36">
        <v>0</v>
      </c>
      <c r="L73" s="37">
        <v>1051.5638495329749</v>
      </c>
      <c r="M73" s="40">
        <v>381873.72945574054</v>
      </c>
    </row>
    <row r="74" spans="1:13" s="24" customFormat="1" ht="15" customHeight="1" x14ac:dyDescent="0.2">
      <c r="A74" s="10">
        <v>44866</v>
      </c>
      <c r="B74" s="36">
        <v>226.59483361585492</v>
      </c>
      <c r="C74" s="36">
        <v>9.3738368547637005</v>
      </c>
      <c r="D74" s="36">
        <v>23.681407398030789</v>
      </c>
      <c r="E74" s="36">
        <v>40.937399525179394</v>
      </c>
      <c r="F74" s="36">
        <v>5.2356672537246078</v>
      </c>
      <c r="G74" s="36">
        <v>18.288601033588886</v>
      </c>
      <c r="H74" s="36">
        <v>138.65042876079406</v>
      </c>
      <c r="I74" s="36">
        <v>54.612128075862557</v>
      </c>
      <c r="J74" s="36">
        <v>477.91999240218377</v>
      </c>
      <c r="K74" s="36">
        <v>3.6381684893058264E-2</v>
      </c>
      <c r="L74" s="37">
        <v>995.33067660487575</v>
      </c>
      <c r="M74" s="40">
        <v>361697.19589415222</v>
      </c>
    </row>
    <row r="75" spans="1:13" s="24" customFormat="1" ht="15" customHeight="1" x14ac:dyDescent="0.2">
      <c r="A75" s="10">
        <v>44896</v>
      </c>
      <c r="B75" s="36">
        <v>224.04309775000468</v>
      </c>
      <c r="C75" s="36">
        <v>11.10364351264934</v>
      </c>
      <c r="D75" s="36">
        <v>46.816750503627546</v>
      </c>
      <c r="E75" s="36">
        <v>49.398623370910464</v>
      </c>
      <c r="F75" s="36">
        <v>4.824797323642243</v>
      </c>
      <c r="G75" s="36">
        <v>18.421658322438383</v>
      </c>
      <c r="H75" s="36">
        <v>144.4574486330188</v>
      </c>
      <c r="I75" s="36">
        <v>55.523879713695038</v>
      </c>
      <c r="J75" s="36">
        <v>512.99705573857079</v>
      </c>
      <c r="K75" s="36">
        <v>5.8883064784822636E-3</v>
      </c>
      <c r="L75" s="37">
        <v>1067.5928431750358</v>
      </c>
      <c r="M75" s="40">
        <v>387712.56841023051</v>
      </c>
    </row>
    <row r="76" spans="1:13" s="24" customFormat="1" ht="15" customHeight="1" x14ac:dyDescent="0.2">
      <c r="A76" s="11">
        <v>44927</v>
      </c>
      <c r="B76" s="21">
        <v>209.18616514192814</v>
      </c>
      <c r="C76" s="21">
        <v>9.5417391151991531</v>
      </c>
      <c r="D76" s="21">
        <v>32.391568684420513</v>
      </c>
      <c r="E76" s="21">
        <v>46.428529331707267</v>
      </c>
      <c r="F76" s="21">
        <v>3.9973422698571945</v>
      </c>
      <c r="G76" s="21">
        <v>15.819034130854902</v>
      </c>
      <c r="H76" s="21">
        <v>155.18334600207271</v>
      </c>
      <c r="I76" s="21">
        <v>55.313588720135705</v>
      </c>
      <c r="J76" s="21">
        <v>450.27093626066016</v>
      </c>
      <c r="K76" s="21">
        <v>3.6964617016451484E-2</v>
      </c>
      <c r="L76" s="22">
        <v>978.16921427385216</v>
      </c>
      <c r="M76" s="28">
        <v>354510.82551092946</v>
      </c>
    </row>
    <row r="77" spans="1:13" s="24" customFormat="1" ht="15" customHeight="1" x14ac:dyDescent="0.2">
      <c r="A77" s="11">
        <v>44958</v>
      </c>
      <c r="B77" s="21">
        <v>213.22342204993362</v>
      </c>
      <c r="C77" s="21">
        <v>13.32816368240378</v>
      </c>
      <c r="D77" s="21">
        <v>32.015817580473431</v>
      </c>
      <c r="E77" s="21">
        <v>44.416998932936281</v>
      </c>
      <c r="F77" s="21">
        <v>5.8890937535741257</v>
      </c>
      <c r="G77" s="21">
        <v>19.30619290860238</v>
      </c>
      <c r="H77" s="21">
        <v>150.9000764419026</v>
      </c>
      <c r="I77" s="21">
        <v>59.213152582238742</v>
      </c>
      <c r="J77" s="21">
        <v>443.66736999413774</v>
      </c>
      <c r="K77" s="21">
        <v>0</v>
      </c>
      <c r="L77" s="22">
        <v>981.96028792620268</v>
      </c>
      <c r="M77" s="28">
        <v>355446.64635854791</v>
      </c>
    </row>
    <row r="78" spans="1:13" s="24" customFormat="1" ht="15" customHeight="1" x14ac:dyDescent="0.2">
      <c r="A78" s="11">
        <v>44986</v>
      </c>
      <c r="B78" s="21">
        <v>226.35541579848177</v>
      </c>
      <c r="C78" s="21">
        <v>18.585366134004552</v>
      </c>
      <c r="D78" s="21">
        <v>35.503555333718396</v>
      </c>
      <c r="E78" s="21">
        <v>39.32483309009222</v>
      </c>
      <c r="F78" s="21">
        <v>5.2087945005158272</v>
      </c>
      <c r="G78" s="21">
        <v>21.848747564655937</v>
      </c>
      <c r="H78" s="21">
        <v>178.03230673179331</v>
      </c>
      <c r="I78" s="21">
        <v>64.406531013816405</v>
      </c>
      <c r="J78" s="21">
        <v>448.14141852588494</v>
      </c>
      <c r="K78" s="21">
        <v>4.7633158801318132E-2</v>
      </c>
      <c r="L78" s="22">
        <v>1037.4546018517647</v>
      </c>
      <c r="M78" s="28">
        <v>341811.10138124251</v>
      </c>
    </row>
    <row r="79" spans="1:13" s="24" customFormat="1" ht="15" customHeight="1" x14ac:dyDescent="0.2">
      <c r="A79" s="11">
        <v>45017</v>
      </c>
      <c r="B79" s="21">
        <v>192.68144063736293</v>
      </c>
      <c r="C79" s="21">
        <v>11.252424629244079</v>
      </c>
      <c r="D79" s="21">
        <v>29.173273653151405</v>
      </c>
      <c r="E79" s="21">
        <v>38.522996123456323</v>
      </c>
      <c r="F79" s="21">
        <v>4.816931321953156</v>
      </c>
      <c r="G79" s="21">
        <v>17.786703358550252</v>
      </c>
      <c r="H79" s="21">
        <v>125.76911632178513</v>
      </c>
      <c r="I79" s="21">
        <v>61.656178354847981</v>
      </c>
      <c r="J79" s="21">
        <v>366.95161915492417</v>
      </c>
      <c r="K79" s="21">
        <v>0</v>
      </c>
      <c r="L79" s="22">
        <v>848.6106835552755</v>
      </c>
      <c r="M79" s="28">
        <v>272764.1797953443</v>
      </c>
    </row>
    <row r="80" spans="1:13" s="24" customFormat="1" ht="15" customHeight="1" x14ac:dyDescent="0.2">
      <c r="A80" s="11">
        <v>45047</v>
      </c>
      <c r="B80" s="21">
        <v>248.95062105551293</v>
      </c>
      <c r="C80" s="21">
        <v>15.06984447899965</v>
      </c>
      <c r="D80" s="21">
        <v>32.116992464306776</v>
      </c>
      <c r="E80" s="21">
        <v>39.125896545578037</v>
      </c>
      <c r="F80" s="21">
        <v>6.2055824291608399</v>
      </c>
      <c r="G80" s="21">
        <v>22.402660902832341</v>
      </c>
      <c r="H80" s="21">
        <v>165.40895934965351</v>
      </c>
      <c r="I80" s="21">
        <v>60.264438159953492</v>
      </c>
      <c r="J80" s="21">
        <v>429.86909338556904</v>
      </c>
      <c r="K80" s="21">
        <v>7.4192312516174752E-2</v>
      </c>
      <c r="L80" s="22">
        <v>1019.4882810840827</v>
      </c>
      <c r="M80" s="28">
        <v>316208.46126533533</v>
      </c>
    </row>
    <row r="81" spans="1:13" s="24" customFormat="1" ht="15" customHeight="1" x14ac:dyDescent="0.2">
      <c r="A81" s="11">
        <v>45078</v>
      </c>
      <c r="B81" s="21">
        <v>224.79821392864397</v>
      </c>
      <c r="C81" s="21">
        <v>11.634184003781435</v>
      </c>
      <c r="D81" s="21">
        <v>30.878612652409274</v>
      </c>
      <c r="E81" s="21">
        <v>39.382672962350554</v>
      </c>
      <c r="F81" s="21">
        <v>5.3718344114675238</v>
      </c>
      <c r="G81" s="21">
        <v>20.161260281775416</v>
      </c>
      <c r="H81" s="21">
        <v>162.86112415900223</v>
      </c>
      <c r="I81" s="21">
        <v>58.554187721485548</v>
      </c>
      <c r="J81" s="21">
        <v>451.70107013475354</v>
      </c>
      <c r="K81" s="21">
        <v>0</v>
      </c>
      <c r="L81" s="22">
        <v>1005.3431602556694</v>
      </c>
      <c r="M81" s="28">
        <v>302870.88687041524</v>
      </c>
    </row>
    <row r="82" spans="1:13" s="24" customFormat="1" ht="15" customHeight="1" x14ac:dyDescent="0.2">
      <c r="A82" s="11">
        <v>45108</v>
      </c>
      <c r="B82" s="21">
        <v>241.18796823768213</v>
      </c>
      <c r="C82" s="21">
        <v>14.249866200131981</v>
      </c>
      <c r="D82" s="21">
        <v>34.948953040540218</v>
      </c>
      <c r="E82" s="21">
        <v>37.833753711817351</v>
      </c>
      <c r="F82" s="21">
        <v>6.3543306044687231</v>
      </c>
      <c r="G82" s="21">
        <v>18.183364922141386</v>
      </c>
      <c r="H82" s="21">
        <v>153.53202714432604</v>
      </c>
      <c r="I82" s="21">
        <v>54.625150573005193</v>
      </c>
      <c r="J82" s="21">
        <v>459.46777089745603</v>
      </c>
      <c r="K82" s="21">
        <v>5.3658852148032565E-2</v>
      </c>
      <c r="L82" s="22">
        <v>1020.4368441837171</v>
      </c>
      <c r="M82" s="28">
        <v>325815.58611047227</v>
      </c>
    </row>
    <row r="83" spans="1:13" s="24" customFormat="1" ht="15" customHeight="1" x14ac:dyDescent="0.2">
      <c r="A83" s="11">
        <v>45139</v>
      </c>
      <c r="B83" s="21">
        <v>267.46142555237265</v>
      </c>
      <c r="C83" s="21">
        <v>10.856173721081522</v>
      </c>
      <c r="D83" s="21">
        <v>32.602133045211026</v>
      </c>
      <c r="E83" s="21">
        <v>40.619078330351414</v>
      </c>
      <c r="F83" s="21">
        <v>6.4611729934161835</v>
      </c>
      <c r="G83" s="21">
        <v>19.523685516101306</v>
      </c>
      <c r="H83" s="21">
        <v>173.20188632150868</v>
      </c>
      <c r="I83" s="21">
        <v>110.44109766761491</v>
      </c>
      <c r="J83" s="21">
        <v>457.38822534265574</v>
      </c>
      <c r="K83" s="21">
        <v>9.0170597095948324E-2</v>
      </c>
      <c r="L83" s="22">
        <v>1118.6450490874095</v>
      </c>
      <c r="M83" s="28">
        <v>359729.84776335239</v>
      </c>
    </row>
    <row r="84" spans="1:13" s="24" customFormat="1" ht="15" customHeight="1" x14ac:dyDescent="0.2">
      <c r="A84" s="11">
        <v>45170</v>
      </c>
      <c r="B84" s="21">
        <v>253.00969419644309</v>
      </c>
      <c r="C84" s="21">
        <v>12.302424016162627</v>
      </c>
      <c r="D84" s="21">
        <v>33.207285863308563</v>
      </c>
      <c r="E84" s="21">
        <v>45.909759169910473</v>
      </c>
      <c r="F84" s="21">
        <v>7.2516835461117273</v>
      </c>
      <c r="G84" s="21">
        <v>18.851798104714419</v>
      </c>
      <c r="H84" s="21">
        <v>166.21880787370421</v>
      </c>
      <c r="I84" s="21">
        <v>52.127113201286491</v>
      </c>
      <c r="J84" s="21">
        <v>383.03077532844668</v>
      </c>
      <c r="K84" s="21">
        <v>0</v>
      </c>
      <c r="L84" s="22">
        <v>971.90934130008839</v>
      </c>
      <c r="M84" s="28">
        <v>313702.49775489059</v>
      </c>
    </row>
    <row r="85" spans="1:13" s="24" customFormat="1" ht="15" customHeight="1" x14ac:dyDescent="0.2">
      <c r="A85" s="11">
        <v>45200</v>
      </c>
      <c r="B85" s="21">
        <v>221.15742933443534</v>
      </c>
      <c r="C85" s="21">
        <v>12.94133910201789</v>
      </c>
      <c r="D85" s="21">
        <v>26.478627153055932</v>
      </c>
      <c r="E85" s="21">
        <v>51.5536147255809</v>
      </c>
      <c r="F85" s="21">
        <v>5.8630219415927618</v>
      </c>
      <c r="G85" s="21">
        <v>20.020327354730988</v>
      </c>
      <c r="H85" s="21">
        <v>159.79493497591693</v>
      </c>
      <c r="I85" s="21">
        <v>50.317280315387876</v>
      </c>
      <c r="J85" s="21">
        <v>379.7556781508224</v>
      </c>
      <c r="K85" s="21">
        <v>7.7206454094493893E-2</v>
      </c>
      <c r="L85" s="22">
        <v>927.95945950763553</v>
      </c>
      <c r="M85" s="28">
        <v>301336.55367375235</v>
      </c>
    </row>
    <row r="86" spans="1:13" s="24" customFormat="1" ht="15" customHeight="1" x14ac:dyDescent="0.2">
      <c r="A86" s="11">
        <v>45231</v>
      </c>
      <c r="B86" s="21">
        <v>238.21187383092155</v>
      </c>
      <c r="C86" s="21">
        <v>13.309006997715155</v>
      </c>
      <c r="D86" s="21">
        <v>39.023040021325208</v>
      </c>
      <c r="E86" s="21">
        <v>55.175388411609283</v>
      </c>
      <c r="F86" s="21">
        <v>6.6982205544554461</v>
      </c>
      <c r="G86" s="21">
        <v>21.258373916222389</v>
      </c>
      <c r="H86" s="21">
        <v>146.32432006437165</v>
      </c>
      <c r="I86" s="21">
        <v>56.271167875095202</v>
      </c>
      <c r="J86" s="21">
        <v>422.70060418473724</v>
      </c>
      <c r="K86" s="21">
        <v>6.5351713612926687E-4</v>
      </c>
      <c r="L86" s="22">
        <v>998.97264937358932</v>
      </c>
      <c r="M86" s="28">
        <v>327912.7721568807</v>
      </c>
    </row>
    <row r="87" spans="1:13" s="24" customFormat="1" ht="15" customHeight="1" x14ac:dyDescent="0.2">
      <c r="A87" s="11">
        <v>45261</v>
      </c>
      <c r="B87" s="21">
        <v>224.78029405436641</v>
      </c>
      <c r="C87" s="22">
        <v>15.444974222804944</v>
      </c>
      <c r="D87" s="22">
        <v>22.182284323150078</v>
      </c>
      <c r="E87" s="22">
        <v>61.080991584270841</v>
      </c>
      <c r="F87" s="21">
        <v>5.4485106795171605</v>
      </c>
      <c r="G87" s="22">
        <v>18.996512866561815</v>
      </c>
      <c r="H87" s="22">
        <v>138.55143140052573</v>
      </c>
      <c r="I87" s="22">
        <v>47.759503523112855</v>
      </c>
      <c r="J87" s="21">
        <v>467.45817845121366</v>
      </c>
      <c r="K87" s="21">
        <v>5.766923964245052E-2</v>
      </c>
      <c r="L87" s="22">
        <v>1001.7603503451659</v>
      </c>
      <c r="M87" s="29">
        <v>327317.48092058528</v>
      </c>
    </row>
    <row r="88" spans="1:13" s="24" customFormat="1" ht="15" customHeight="1" x14ac:dyDescent="0.2">
      <c r="A88" s="10" t="s">
        <v>347</v>
      </c>
      <c r="B88" s="37">
        <v>211.0941097348263</v>
      </c>
      <c r="C88" s="36">
        <v>10.877563556564642</v>
      </c>
      <c r="D88" s="36">
        <v>25.098426397061253</v>
      </c>
      <c r="E88" s="36">
        <v>85.871820035011424</v>
      </c>
      <c r="F88" s="37">
        <v>6.1447679862353528</v>
      </c>
      <c r="G88" s="36">
        <v>24.081392907694536</v>
      </c>
      <c r="H88" s="36">
        <v>159.5870552365939</v>
      </c>
      <c r="I88" s="36">
        <v>44.059332759598796</v>
      </c>
      <c r="J88" s="37">
        <v>403.84606489068432</v>
      </c>
      <c r="K88" s="37">
        <v>6.7296327870608325E-2</v>
      </c>
      <c r="L88" s="37">
        <v>970.72395980169608</v>
      </c>
      <c r="M88" s="37">
        <v>311767.9966038866</v>
      </c>
    </row>
    <row r="89" spans="1:13" s="24" customFormat="1" ht="15" customHeight="1" x14ac:dyDescent="0.2">
      <c r="A89" s="10" t="s">
        <v>348</v>
      </c>
      <c r="B89" s="36">
        <v>244.6018494491492</v>
      </c>
      <c r="C89" s="36">
        <v>13.033461909443371</v>
      </c>
      <c r="D89" s="36">
        <v>34.774559125804871</v>
      </c>
      <c r="E89" s="36">
        <v>91.432339166048493</v>
      </c>
      <c r="F89" s="36">
        <v>5.7298620897491555</v>
      </c>
      <c r="G89" s="36">
        <v>20.887604799537783</v>
      </c>
      <c r="H89" s="36">
        <v>154.58670492836873</v>
      </c>
      <c r="I89" s="36">
        <v>47.447915500698855</v>
      </c>
      <c r="J89" s="36">
        <v>446.82915727719075</v>
      </c>
      <c r="K89" s="36">
        <v>6.2388488582606507E-4</v>
      </c>
      <c r="L89" s="36">
        <v>1059.3185622998949</v>
      </c>
      <c r="M89" s="37">
        <v>331121.90213555738</v>
      </c>
    </row>
    <row r="90" spans="1:13" s="24" customFormat="1" ht="15" customHeight="1" x14ac:dyDescent="0.2">
      <c r="A90" s="10" t="s">
        <v>349</v>
      </c>
      <c r="B90" s="36">
        <v>246.4862647048239</v>
      </c>
      <c r="C90" s="36">
        <v>16.882283244728708</v>
      </c>
      <c r="D90" s="36">
        <v>36.450503201217018</v>
      </c>
      <c r="E90" s="36">
        <v>101.86661883143705</v>
      </c>
      <c r="F90" s="36">
        <v>7.6883515613498439</v>
      </c>
      <c r="G90" s="36">
        <v>23.846503050725467</v>
      </c>
      <c r="H90" s="36">
        <v>171.21822236209576</v>
      </c>
      <c r="I90" s="36">
        <v>65.172941969149221</v>
      </c>
      <c r="J90" s="36">
        <v>478.88144886692947</v>
      </c>
      <c r="K90" s="36">
        <v>0</v>
      </c>
      <c r="L90" s="36">
        <v>1148.4812078626312</v>
      </c>
      <c r="M90" s="37">
        <v>351050.5084013312</v>
      </c>
    </row>
    <row r="91" spans="1:13" s="24" customFormat="1" ht="15" customHeight="1" x14ac:dyDescent="0.2">
      <c r="A91" s="10" t="s">
        <v>350</v>
      </c>
      <c r="B91" s="36">
        <v>201.77566292792275</v>
      </c>
      <c r="C91" s="36">
        <v>13.542534422850334</v>
      </c>
      <c r="D91" s="36">
        <v>31.706667739841137</v>
      </c>
      <c r="E91" s="36">
        <v>90.582955099259962</v>
      </c>
      <c r="F91" s="36">
        <v>5.6075923675920905</v>
      </c>
      <c r="G91" s="36">
        <v>18.442245958229023</v>
      </c>
      <c r="H91" s="36">
        <v>131.9696295273379</v>
      </c>
      <c r="I91" s="36">
        <v>39.668799592015588</v>
      </c>
      <c r="J91" s="36">
        <v>344.22721283758239</v>
      </c>
      <c r="K91" s="36">
        <v>5.6249011432647836E-2</v>
      </c>
      <c r="L91" s="36">
        <v>877.57873925960553</v>
      </c>
      <c r="M91" s="37">
        <v>262767.43436107674</v>
      </c>
    </row>
    <row r="92" spans="1:13" s="24" customFormat="1" ht="15" customHeight="1" x14ac:dyDescent="0.2">
      <c r="A92" s="10" t="s">
        <v>351</v>
      </c>
      <c r="B92" s="36">
        <v>232.68031769251331</v>
      </c>
      <c r="C92" s="36">
        <v>14.556931749664573</v>
      </c>
      <c r="D92" s="36">
        <v>32.914180097386549</v>
      </c>
      <c r="E92" s="36">
        <v>90.611735573461104</v>
      </c>
      <c r="F92" s="36">
        <v>5.5821847408158307</v>
      </c>
      <c r="G92" s="36">
        <v>21.847385238125902</v>
      </c>
      <c r="H92" s="36">
        <v>154.00893798405897</v>
      </c>
      <c r="I92" s="36">
        <v>43.029113430675395</v>
      </c>
      <c r="J92" s="36">
        <v>415.99815770972424</v>
      </c>
      <c r="K92" s="36">
        <v>2.5750718320090307E-2</v>
      </c>
      <c r="L92" s="36">
        <v>1011.2546937501978</v>
      </c>
      <c r="M92" s="37">
        <v>303065.24505579239</v>
      </c>
    </row>
    <row r="93" spans="1:13" s="24" customFormat="1" ht="15" customHeight="1" x14ac:dyDescent="0.2">
      <c r="A93" s="10" t="s">
        <v>352</v>
      </c>
      <c r="B93" s="36">
        <v>260.57538941668224</v>
      </c>
      <c r="C93" s="36">
        <v>12.790270762751057</v>
      </c>
      <c r="D93" s="36">
        <v>28.486923871695698</v>
      </c>
      <c r="E93" s="36">
        <v>72.726181028302349</v>
      </c>
      <c r="F93" s="36">
        <v>7.4716709505645102</v>
      </c>
      <c r="G93" s="36">
        <v>23.836137747640731</v>
      </c>
      <c r="H93" s="36">
        <v>153.26091577840381</v>
      </c>
      <c r="I93" s="36">
        <v>45.123907062951076</v>
      </c>
      <c r="J93" s="36">
        <v>472.75444111768422</v>
      </c>
      <c r="K93" s="36">
        <v>0</v>
      </c>
      <c r="L93" s="36">
        <v>1077.0243072183061</v>
      </c>
      <c r="M93" s="37">
        <v>327213.01652703871</v>
      </c>
    </row>
    <row r="94" spans="1:13" s="24" customFormat="1" ht="15" customHeight="1" x14ac:dyDescent="0.2">
      <c r="A94" s="10" t="s">
        <v>353</v>
      </c>
      <c r="B94" s="36">
        <v>277.81918204387142</v>
      </c>
      <c r="C94" s="36">
        <v>10.72148802377172</v>
      </c>
      <c r="D94" s="36">
        <v>33.738656980819137</v>
      </c>
      <c r="E94" s="36">
        <v>93.391424902520072</v>
      </c>
      <c r="F94" s="36">
        <v>8.0001533138944794</v>
      </c>
      <c r="G94" s="36">
        <v>25.321702314259575</v>
      </c>
      <c r="H94" s="36">
        <v>150.23790012154498</v>
      </c>
      <c r="I94" s="36">
        <v>60.187933426149094</v>
      </c>
      <c r="J94" s="36">
        <v>470.86137751191001</v>
      </c>
      <c r="K94" s="36">
        <v>0</v>
      </c>
      <c r="L94" s="36">
        <v>1130.2795584462635</v>
      </c>
      <c r="M94" s="37">
        <v>343329.08452744735</v>
      </c>
    </row>
    <row r="95" spans="1:13" s="24" customFormat="1" ht="15" customHeight="1" x14ac:dyDescent="0.2">
      <c r="A95" s="10" t="s">
        <v>354</v>
      </c>
      <c r="B95" s="36">
        <v>278.21290531792016</v>
      </c>
      <c r="C95" s="36">
        <v>17.914533530804547</v>
      </c>
      <c r="D95" s="36">
        <v>36.065369445332294</v>
      </c>
      <c r="E95" s="36">
        <v>83.221667911076452</v>
      </c>
      <c r="F95" s="36">
        <v>9.6786536392429827</v>
      </c>
      <c r="G95" s="36">
        <v>25.712642130879782</v>
      </c>
      <c r="H95" s="36">
        <v>173.59905810299927</v>
      </c>
      <c r="I95" s="36">
        <v>50.835252509160433</v>
      </c>
      <c r="J95" s="36">
        <v>556.32920223256008</v>
      </c>
      <c r="K95" s="36">
        <v>0.11302770860779141</v>
      </c>
      <c r="L95" s="36">
        <v>1231.6821030552205</v>
      </c>
      <c r="M95" s="37">
        <v>370327.7640660379</v>
      </c>
    </row>
    <row r="96" spans="1:13" s="24" customFormat="1" ht="15" customHeight="1" x14ac:dyDescent="0.2">
      <c r="A96" s="10" t="s">
        <v>355</v>
      </c>
      <c r="B96" s="36">
        <v>243.95930415191077</v>
      </c>
      <c r="C96" s="36">
        <v>11.052722993984736</v>
      </c>
      <c r="D96" s="36">
        <v>28.251685705320092</v>
      </c>
      <c r="E96" s="36">
        <v>74.357101800815229</v>
      </c>
      <c r="F96" s="36">
        <v>8.5098189941574063</v>
      </c>
      <c r="G96" s="36">
        <v>23.473294532135924</v>
      </c>
      <c r="H96" s="36">
        <v>134.83986454284485</v>
      </c>
      <c r="I96" s="36">
        <v>37.556118475645889</v>
      </c>
      <c r="J96" s="36">
        <v>449.74038745693593</v>
      </c>
      <c r="K96" s="36">
        <v>0</v>
      </c>
      <c r="L96" s="36">
        <v>1011.7372962546182</v>
      </c>
      <c r="M96" s="37">
        <v>304685.19263572642</v>
      </c>
    </row>
    <row r="97" spans="1:13" s="24" customFormat="1" ht="15" customHeight="1" x14ac:dyDescent="0.2">
      <c r="A97" s="10" t="s">
        <v>356</v>
      </c>
      <c r="B97" s="36">
        <v>283.29007454768811</v>
      </c>
      <c r="C97" s="36">
        <v>14.91473377308788</v>
      </c>
      <c r="D97" s="36">
        <v>32.240655155758411</v>
      </c>
      <c r="E97" s="36">
        <v>121.44267756685215</v>
      </c>
      <c r="F97" s="36">
        <v>9.5322543416939798</v>
      </c>
      <c r="G97" s="36">
        <v>22.768329183474584</v>
      </c>
      <c r="H97" s="36">
        <v>145.35288994618855</v>
      </c>
      <c r="I97" s="36">
        <v>57.797116657720224</v>
      </c>
      <c r="J97" s="36">
        <v>470.63708286591122</v>
      </c>
      <c r="K97" s="36">
        <v>2.768893316917706E-2</v>
      </c>
      <c r="L97" s="36">
        <v>1157.9983404190527</v>
      </c>
      <c r="M97" s="37">
        <v>340202.65823984542</v>
      </c>
    </row>
    <row r="98" spans="1:13" s="24" customFormat="1" ht="15" customHeight="1" x14ac:dyDescent="0.2">
      <c r="A98" s="10" t="s">
        <v>357</v>
      </c>
      <c r="B98" s="36">
        <v>243.73072474771342</v>
      </c>
      <c r="C98" s="36">
        <v>12.011788272424294</v>
      </c>
      <c r="D98" s="36">
        <v>26.439194196621202</v>
      </c>
      <c r="E98" s="36">
        <v>70.041785478055274</v>
      </c>
      <c r="F98" s="36">
        <v>9.9674835381898923</v>
      </c>
      <c r="G98" s="36">
        <v>25.66753808441652</v>
      </c>
      <c r="H98" s="36">
        <v>129.80666535420801</v>
      </c>
      <c r="I98" s="36">
        <v>41.540746175120518</v>
      </c>
      <c r="J98" s="36">
        <v>434.90327561224098</v>
      </c>
      <c r="K98" s="36">
        <v>4.0620788660083312E-2</v>
      </c>
      <c r="L98" s="36">
        <v>994.14745233944154</v>
      </c>
      <c r="M98" s="37">
        <v>290300.20223967847</v>
      </c>
    </row>
    <row r="99" spans="1:13" s="24" customFormat="1" ht="15" customHeight="1" x14ac:dyDescent="0.2">
      <c r="A99" s="10" t="s">
        <v>358</v>
      </c>
      <c r="B99" s="36">
        <v>273.82431971969328</v>
      </c>
      <c r="C99" s="36">
        <v>17.27790283203711</v>
      </c>
      <c r="D99" s="36">
        <v>29.438093266433647</v>
      </c>
      <c r="E99" s="36">
        <v>87.901675645737413</v>
      </c>
      <c r="F99" s="36">
        <v>11.369368761367317</v>
      </c>
      <c r="G99" s="36">
        <v>25.171987146895319</v>
      </c>
      <c r="H99" s="36">
        <v>124.30534121300532</v>
      </c>
      <c r="I99" s="36">
        <v>46.379559727167219</v>
      </c>
      <c r="J99" s="36">
        <v>486.10274149368917</v>
      </c>
      <c r="K99" s="36">
        <v>0</v>
      </c>
      <c r="L99" s="36">
        <v>1101.7669842074342</v>
      </c>
      <c r="M99" s="37">
        <v>321363.94483711652</v>
      </c>
    </row>
    <row r="100" spans="1:13" s="24" customFormat="1" ht="15" customHeight="1" x14ac:dyDescent="0.2">
      <c r="A100" s="11" t="s">
        <v>287</v>
      </c>
      <c r="B100" s="22">
        <v>236.43275736411283</v>
      </c>
      <c r="C100" s="23">
        <v>11.582088864324215</v>
      </c>
      <c r="D100" s="23">
        <v>32.524707798916602</v>
      </c>
      <c r="E100" s="23">
        <v>73.508492055793567</v>
      </c>
      <c r="F100" s="23">
        <v>12.929256960979082</v>
      </c>
      <c r="G100" s="23">
        <v>25.974127036433298</v>
      </c>
      <c r="H100" s="23">
        <v>136.74911544366998</v>
      </c>
      <c r="I100" s="23">
        <v>36.007089840083509</v>
      </c>
      <c r="J100" s="23">
        <v>487.08274990829898</v>
      </c>
      <c r="K100" s="23">
        <v>0</v>
      </c>
      <c r="L100" s="23">
        <v>1052.790385272612</v>
      </c>
      <c r="M100" s="23">
        <v>311815.03519388812</v>
      </c>
    </row>
    <row r="101" spans="1:13" s="24" customFormat="1" ht="15" customHeight="1" x14ac:dyDescent="0.2">
      <c r="A101" s="11" t="s">
        <v>288</v>
      </c>
      <c r="B101" s="22">
        <v>238.56873769640106</v>
      </c>
      <c r="C101" s="23">
        <v>13.50504913016495</v>
      </c>
      <c r="D101" s="23">
        <v>38.053000871957664</v>
      </c>
      <c r="E101" s="23">
        <v>81.111333843168865</v>
      </c>
      <c r="F101" s="23">
        <v>13.220698947518795</v>
      </c>
      <c r="G101" s="23">
        <v>23.924556494298919</v>
      </c>
      <c r="H101" s="23">
        <v>136.33336046305399</v>
      </c>
      <c r="I101" s="23">
        <v>44.526144727452582</v>
      </c>
      <c r="J101" s="23">
        <v>463.68860568406558</v>
      </c>
      <c r="K101" s="23">
        <v>0</v>
      </c>
      <c r="L101" s="23">
        <v>1052.9314878580824</v>
      </c>
      <c r="M101" s="23">
        <v>312513.6455633376</v>
      </c>
    </row>
    <row r="102" spans="1:13" s="24" customFormat="1" ht="15" customHeight="1" x14ac:dyDescent="0.2">
      <c r="A102" s="11" t="s">
        <v>289</v>
      </c>
      <c r="B102" s="22">
        <v>295.00516847071231</v>
      </c>
      <c r="C102" s="23">
        <v>15.851957889080765</v>
      </c>
      <c r="D102" s="23">
        <v>35.850305860923463</v>
      </c>
      <c r="E102" s="23">
        <v>104.38489251423573</v>
      </c>
      <c r="F102" s="23">
        <v>18.663204694686542</v>
      </c>
      <c r="G102" s="23">
        <v>28.766300028049162</v>
      </c>
      <c r="H102" s="23">
        <v>159.9364805538527</v>
      </c>
      <c r="I102" s="23">
        <v>46.992008735793767</v>
      </c>
      <c r="J102" s="23">
        <v>536.16528895819317</v>
      </c>
      <c r="K102" s="23">
        <v>7.5251269816058314E-2</v>
      </c>
      <c r="L102" s="23">
        <v>1241.6908589753436</v>
      </c>
      <c r="M102" s="23">
        <v>367427.50038853497</v>
      </c>
    </row>
    <row r="103" spans="1:13" s="24" customFormat="1" ht="15" customHeight="1" x14ac:dyDescent="0.2">
      <c r="A103" s="11" t="s">
        <v>290</v>
      </c>
      <c r="B103" s="22">
        <v>238.1120165530437</v>
      </c>
      <c r="C103" s="23">
        <v>12.126599816032629</v>
      </c>
      <c r="D103" s="23">
        <v>33.94833548051259</v>
      </c>
      <c r="E103" s="23">
        <v>65.143433057058019</v>
      </c>
      <c r="F103" s="23">
        <v>11.095619127916949</v>
      </c>
      <c r="G103" s="23">
        <v>41.034521014888895</v>
      </c>
      <c r="H103" s="23">
        <v>127.99444860118474</v>
      </c>
      <c r="I103" s="23">
        <v>52.158390439592246</v>
      </c>
      <c r="J103" s="23">
        <v>386.61519873148922</v>
      </c>
      <c r="K103" s="23">
        <v>7.2369320191658358E-4</v>
      </c>
      <c r="L103" s="23">
        <v>968.229286514921</v>
      </c>
      <c r="M103" s="23">
        <v>289046.6507784432</v>
      </c>
    </row>
    <row r="104" spans="1:13" s="24" customFormat="1" ht="15" customHeight="1" x14ac:dyDescent="0.2">
      <c r="A104" s="11" t="s">
        <v>291</v>
      </c>
      <c r="B104" s="22">
        <v>269.55032157793448</v>
      </c>
      <c r="C104" s="23">
        <v>13.480312613763811</v>
      </c>
      <c r="D104" s="23">
        <v>34.033338175009739</v>
      </c>
      <c r="E104" s="23">
        <v>69.698632247272386</v>
      </c>
      <c r="F104" s="23">
        <v>16.234066807786672</v>
      </c>
      <c r="G104" s="23">
        <v>27.881136649497584</v>
      </c>
      <c r="H104" s="23">
        <v>143.59242939967442</v>
      </c>
      <c r="I104" s="23">
        <v>45.321248414403854</v>
      </c>
      <c r="J104" s="23">
        <v>414.85951263129846</v>
      </c>
      <c r="K104" s="23">
        <v>0</v>
      </c>
      <c r="L104" s="23">
        <v>1034.6509985166413</v>
      </c>
      <c r="M104" s="23">
        <v>309789.20100006129</v>
      </c>
    </row>
    <row r="105" spans="1:13" s="24" customFormat="1" ht="15" customHeight="1" x14ac:dyDescent="0.2">
      <c r="A105" s="11" t="s">
        <v>292</v>
      </c>
      <c r="B105" s="22">
        <v>288.44592777159431</v>
      </c>
      <c r="C105" s="23">
        <v>15.672547740690774</v>
      </c>
      <c r="D105" s="23">
        <v>34.583659889550361</v>
      </c>
      <c r="E105" s="23">
        <v>71.453453585466775</v>
      </c>
      <c r="F105" s="23">
        <v>17.241956366325734</v>
      </c>
      <c r="G105" s="23">
        <v>24.399104272270819</v>
      </c>
      <c r="H105" s="23">
        <v>145.31863857687893</v>
      </c>
      <c r="I105" s="23">
        <v>45.934935021977225</v>
      </c>
      <c r="J105" s="23">
        <v>498.78100870969587</v>
      </c>
      <c r="K105" s="23">
        <v>0</v>
      </c>
      <c r="L105" s="23">
        <v>1141.8312319344509</v>
      </c>
      <c r="M105" s="23">
        <v>342436.78502086655</v>
      </c>
    </row>
    <row r="106" spans="1:13" s="24" customFormat="1" ht="15" customHeight="1" x14ac:dyDescent="0.2">
      <c r="A106" s="11" t="s">
        <v>341</v>
      </c>
      <c r="B106" s="22">
        <v>343.40770646884636</v>
      </c>
      <c r="C106" s="23">
        <v>13.693684643119376</v>
      </c>
      <c r="D106" s="23">
        <v>46.669411586743834</v>
      </c>
      <c r="E106" s="23">
        <v>115.13716942704309</v>
      </c>
      <c r="F106" s="23">
        <v>20.144904020533893</v>
      </c>
      <c r="G106" s="23">
        <v>33.308845945011605</v>
      </c>
      <c r="H106" s="23">
        <v>157.19632895457218</v>
      </c>
      <c r="I106" s="23">
        <v>49.152829739603618</v>
      </c>
      <c r="J106" s="23">
        <v>523.48352833522108</v>
      </c>
      <c r="K106" s="23">
        <v>0</v>
      </c>
      <c r="L106" s="23">
        <v>1302.1944091206951</v>
      </c>
      <c r="M106" s="23">
        <v>392118.9942049192</v>
      </c>
    </row>
    <row r="107" spans="1:13" s="24" customFormat="1" ht="15" customHeight="1" x14ac:dyDescent="0.2">
      <c r="A107" s="11" t="s">
        <v>342</v>
      </c>
      <c r="B107" s="22">
        <v>310.40321086566644</v>
      </c>
      <c r="C107" s="23">
        <v>17.562761930696666</v>
      </c>
      <c r="D107" s="23">
        <v>46.248887249986815</v>
      </c>
      <c r="E107" s="23">
        <v>74.221499849387044</v>
      </c>
      <c r="F107" s="23">
        <v>19.423782199754484</v>
      </c>
      <c r="G107" s="23">
        <v>33.042897584025425</v>
      </c>
      <c r="H107" s="23">
        <v>167.69233214116198</v>
      </c>
      <c r="I107" s="23">
        <v>65.257445446618135</v>
      </c>
      <c r="J107" s="23">
        <v>548.47681944143255</v>
      </c>
      <c r="K107" s="23">
        <v>0</v>
      </c>
      <c r="L107" s="23">
        <v>1282.3296367087296</v>
      </c>
      <c r="M107" s="23">
        <v>386608.40807464183</v>
      </c>
    </row>
    <row r="108" spans="1:13" s="24" customFormat="1" ht="15" customHeight="1" x14ac:dyDescent="0.2">
      <c r="A108" s="11" t="s">
        <v>343</v>
      </c>
      <c r="B108" s="22">
        <v>317.224370614387</v>
      </c>
      <c r="C108" s="23">
        <v>15.601255217235202</v>
      </c>
      <c r="D108" s="23">
        <v>45.078467601271356</v>
      </c>
      <c r="E108" s="23">
        <v>65.216862283686666</v>
      </c>
      <c r="F108" s="23">
        <v>19.586129740515659</v>
      </c>
      <c r="G108" s="23">
        <v>30.741424246886538</v>
      </c>
      <c r="H108" s="23">
        <v>139.61001383104647</v>
      </c>
      <c r="I108" s="23">
        <v>44.881776982119192</v>
      </c>
      <c r="J108" s="23">
        <v>460.52533238310991</v>
      </c>
      <c r="K108" s="23">
        <v>0</v>
      </c>
      <c r="L108" s="23">
        <v>1138.4656329002578</v>
      </c>
      <c r="M108" s="23">
        <v>344039.19116710982</v>
      </c>
    </row>
    <row r="109" spans="1:13" s="24" customFormat="1" ht="15" customHeight="1" x14ac:dyDescent="0.2">
      <c r="A109" s="11" t="s">
        <v>344</v>
      </c>
      <c r="B109" s="22">
        <v>304.01258204634638</v>
      </c>
      <c r="C109" s="23">
        <v>17.233128761375049</v>
      </c>
      <c r="D109" s="23">
        <v>40.056565459430843</v>
      </c>
      <c r="E109" s="23">
        <v>72.948637087585169</v>
      </c>
      <c r="F109" s="23">
        <v>22.075713153245879</v>
      </c>
      <c r="G109" s="23">
        <v>31.165473659034642</v>
      </c>
      <c r="H109" s="23">
        <v>144.73795888335223</v>
      </c>
      <c r="I109" s="23">
        <v>49.052201282945795</v>
      </c>
      <c r="J109" s="23">
        <v>468.55423027900525</v>
      </c>
      <c r="K109" s="23">
        <v>0</v>
      </c>
      <c r="L109" s="23">
        <v>1149.8364906123213</v>
      </c>
      <c r="M109" s="23">
        <v>348550.51031755825</v>
      </c>
    </row>
    <row r="110" spans="1:13" s="24" customFormat="1" ht="15" customHeight="1" x14ac:dyDescent="0.2">
      <c r="A110" s="11" t="s">
        <v>345</v>
      </c>
      <c r="B110" s="22">
        <v>266.34414226024734</v>
      </c>
      <c r="C110" s="23">
        <v>13.694610471132409</v>
      </c>
      <c r="D110" s="23">
        <v>34.854153286958905</v>
      </c>
      <c r="E110" s="23">
        <v>88.123709079574922</v>
      </c>
      <c r="F110" s="23">
        <v>14.781713008451201</v>
      </c>
      <c r="G110" s="23">
        <v>32.565947030654783</v>
      </c>
      <c r="H110" s="23">
        <v>126.31916655596433</v>
      </c>
      <c r="I110" s="23">
        <v>61.064964324768965</v>
      </c>
      <c r="J110" s="23">
        <v>420.70839219868316</v>
      </c>
      <c r="K110" s="23">
        <v>0</v>
      </c>
      <c r="L110" s="23">
        <v>1058.456798216436</v>
      </c>
      <c r="M110" s="23">
        <v>324255.06476321054</v>
      </c>
    </row>
    <row r="111" spans="1:13" s="24" customFormat="1" ht="15" customHeight="1" x14ac:dyDescent="0.2">
      <c r="A111" s="11" t="s">
        <v>346</v>
      </c>
      <c r="B111" s="22">
        <v>270.44010580499605</v>
      </c>
      <c r="C111" s="23">
        <v>16.263838387921897</v>
      </c>
      <c r="D111" s="23">
        <v>33.295039755705758</v>
      </c>
      <c r="E111" s="23">
        <v>90.056758704321908</v>
      </c>
      <c r="F111" s="23">
        <v>15.471823131821415</v>
      </c>
      <c r="G111" s="23">
        <v>30.866176928980479</v>
      </c>
      <c r="H111" s="23">
        <v>127.75751746434115</v>
      </c>
      <c r="I111" s="23">
        <v>59.393519928305508</v>
      </c>
      <c r="J111" s="23">
        <v>514.42253057960056</v>
      </c>
      <c r="K111" s="23">
        <v>0</v>
      </c>
      <c r="L111" s="23">
        <v>1157.9673106859948</v>
      </c>
      <c r="M111" s="23">
        <v>358044.53463468916</v>
      </c>
    </row>
    <row r="112" spans="1:13" s="24" customFormat="1" ht="15" customHeight="1" x14ac:dyDescent="0.2">
      <c r="A112" s="169" t="s">
        <v>373</v>
      </c>
      <c r="B112" s="170">
        <v>290.64313063834777</v>
      </c>
      <c r="C112" s="174">
        <v>14.818921742034096</v>
      </c>
      <c r="D112" s="174">
        <v>41.385123859170605</v>
      </c>
      <c r="E112" s="174">
        <v>79.10188459026881</v>
      </c>
      <c r="F112" s="174">
        <v>16.170869567042711</v>
      </c>
      <c r="G112" s="174">
        <v>32.50246447568432</v>
      </c>
      <c r="H112" s="174">
        <v>141.21855969709429</v>
      </c>
      <c r="I112" s="174">
        <v>55.600593953059231</v>
      </c>
      <c r="J112" s="174">
        <v>477.30502124076509</v>
      </c>
      <c r="K112" s="174">
        <v>0</v>
      </c>
      <c r="L112" s="174">
        <v>1148.7465697634668</v>
      </c>
      <c r="M112" s="174">
        <v>355714.0851881936</v>
      </c>
    </row>
    <row r="113" spans="1:13" s="24" customFormat="1" ht="15" customHeight="1" x14ac:dyDescent="0.2">
      <c r="A113" s="169" t="s">
        <v>374</v>
      </c>
      <c r="B113" s="170">
        <v>263.01646777030794</v>
      </c>
      <c r="C113" s="174">
        <v>12.256497020659818</v>
      </c>
      <c r="D113" s="174">
        <v>39.515794895847542</v>
      </c>
      <c r="E113" s="174">
        <v>72.603520826938052</v>
      </c>
      <c r="F113" s="174">
        <v>17.534373003564088</v>
      </c>
      <c r="G113" s="174">
        <v>32.670793492968471</v>
      </c>
      <c r="H113" s="174">
        <v>145.53574822936622</v>
      </c>
      <c r="I113" s="174">
        <v>56.940092709618902</v>
      </c>
      <c r="J113" s="174">
        <v>417.89819540828626</v>
      </c>
      <c r="K113" s="174">
        <v>0</v>
      </c>
      <c r="L113" s="174">
        <v>1057.9714833575572</v>
      </c>
      <c r="M113" s="174">
        <v>327298.07838313066</v>
      </c>
    </row>
    <row r="114" spans="1:13" s="24" customFormat="1" ht="15" customHeight="1" x14ac:dyDescent="0.2">
      <c r="A114" s="169" t="s">
        <v>375</v>
      </c>
      <c r="B114" s="170">
        <v>280.93137709918381</v>
      </c>
      <c r="C114" s="174">
        <v>16.123112788858684</v>
      </c>
      <c r="D114" s="174">
        <v>40.117903568592389</v>
      </c>
      <c r="E114" s="174">
        <v>157.20853194152821</v>
      </c>
      <c r="F114" s="174">
        <v>18.027588849322999</v>
      </c>
      <c r="G114" s="174">
        <v>40.277088411540532</v>
      </c>
      <c r="H114" s="174">
        <v>155.34479493919616</v>
      </c>
      <c r="I114" s="174">
        <v>61.20742034715461</v>
      </c>
      <c r="J114" s="174">
        <v>485.08768371452413</v>
      </c>
      <c r="K114" s="174">
        <v>0</v>
      </c>
      <c r="L114" s="174">
        <v>1254.3255016599014</v>
      </c>
      <c r="M114" s="174">
        <v>391240.30476669467</v>
      </c>
    </row>
    <row r="115" spans="1:13" s="24" customFormat="1" ht="15" customHeight="1" x14ac:dyDescent="0.2">
      <c r="A115" s="171" t="s">
        <v>397</v>
      </c>
      <c r="B115" s="172">
        <v>258.57710372679543</v>
      </c>
      <c r="C115" s="175">
        <v>13.167124444030128</v>
      </c>
      <c r="D115" s="175">
        <v>40.5784667192287</v>
      </c>
      <c r="E115" s="175">
        <v>140.35040945748707</v>
      </c>
      <c r="F115" s="175">
        <v>10.722148076403492</v>
      </c>
      <c r="G115" s="175">
        <v>32.207394529651459</v>
      </c>
      <c r="H115" s="175">
        <v>130.94465572256729</v>
      </c>
      <c r="I115" s="175">
        <v>69.291465289309741</v>
      </c>
      <c r="J115" s="175">
        <v>378.25799821422885</v>
      </c>
      <c r="K115" s="175">
        <v>0</v>
      </c>
      <c r="L115" s="175">
        <v>1074.0967661797022</v>
      </c>
      <c r="M115" s="175">
        <v>339899.53280271601</v>
      </c>
    </row>
    <row r="116" spans="1:13" ht="15" customHeight="1" x14ac:dyDescent="0.2">
      <c r="A116" s="30" t="s">
        <v>52</v>
      </c>
      <c r="B116" s="30"/>
      <c r="C116" s="30"/>
      <c r="D116" s="30"/>
      <c r="E116" s="30"/>
      <c r="F116" s="30"/>
      <c r="I116" s="161" t="s">
        <v>53</v>
      </c>
      <c r="J116" s="30" t="s">
        <v>54</v>
      </c>
      <c r="K116" s="30"/>
      <c r="L116" s="30"/>
      <c r="M116" s="30"/>
    </row>
    <row r="117" spans="1:13" ht="15" customHeight="1" x14ac:dyDescent="0.2">
      <c r="A117" s="31" t="s">
        <v>55</v>
      </c>
      <c r="B117" s="30"/>
      <c r="C117" s="30"/>
      <c r="D117" s="30"/>
      <c r="E117" s="30"/>
      <c r="F117" s="30"/>
      <c r="I117" s="30" t="s">
        <v>56</v>
      </c>
      <c r="J117" s="30"/>
      <c r="K117" s="30"/>
      <c r="M117" s="30"/>
    </row>
    <row r="118" spans="1:13" ht="15" customHeight="1" x14ac:dyDescent="0.2">
      <c r="A118" s="30"/>
      <c r="B118" s="30"/>
      <c r="C118" s="30"/>
      <c r="D118" s="30"/>
      <c r="E118" s="30"/>
      <c r="F118" s="30"/>
      <c r="I118" s="30" t="s">
        <v>57</v>
      </c>
      <c r="J118" s="30"/>
      <c r="K118" s="30"/>
      <c r="M118" s="30"/>
    </row>
    <row r="119" spans="1:13" ht="15" customHeight="1" x14ac:dyDescent="0.2">
      <c r="A119" s="30"/>
      <c r="B119" s="30"/>
      <c r="C119" s="30"/>
      <c r="D119" s="30"/>
      <c r="E119" s="30"/>
      <c r="F119" s="30"/>
      <c r="I119" s="30" t="s">
        <v>58</v>
      </c>
      <c r="J119" s="30"/>
      <c r="K119" s="30"/>
      <c r="M119" s="30"/>
    </row>
    <row r="124" spans="1:13" ht="15" customHeight="1" x14ac:dyDescent="0.2">
      <c r="B124" s="32"/>
      <c r="C124" s="32"/>
      <c r="D124" s="32"/>
      <c r="E124" s="32"/>
      <c r="F124" s="32"/>
      <c r="G124" s="32"/>
      <c r="H124" s="32"/>
      <c r="I124" s="32"/>
      <c r="J124" s="32"/>
      <c r="K124" s="32"/>
      <c r="L124" s="32"/>
      <c r="M124" s="32"/>
    </row>
    <row r="125" spans="1:13" ht="15" customHeight="1" x14ac:dyDescent="0.2">
      <c r="B125" s="32"/>
      <c r="C125" s="32"/>
      <c r="D125" s="32"/>
      <c r="E125" s="32"/>
      <c r="F125" s="32"/>
      <c r="G125" s="32"/>
      <c r="H125" s="32"/>
      <c r="I125" s="32"/>
      <c r="J125" s="32"/>
      <c r="K125" s="32"/>
      <c r="L125" s="32"/>
      <c r="M125" s="32"/>
    </row>
    <row r="126" spans="1:13" ht="15" customHeight="1" x14ac:dyDescent="0.2">
      <c r="B126" s="32"/>
      <c r="C126" s="32"/>
      <c r="D126" s="32"/>
      <c r="E126" s="32"/>
      <c r="F126" s="32"/>
      <c r="G126" s="32"/>
      <c r="H126" s="32"/>
      <c r="I126" s="32"/>
      <c r="J126" s="32"/>
      <c r="K126" s="32"/>
      <c r="L126" s="32"/>
      <c r="M126" s="32"/>
    </row>
    <row r="127" spans="1:13" ht="15" customHeight="1" x14ac:dyDescent="0.2">
      <c r="B127" s="32"/>
      <c r="C127" s="32"/>
      <c r="D127" s="32"/>
      <c r="E127" s="32"/>
      <c r="F127" s="32"/>
      <c r="G127" s="32"/>
      <c r="H127" s="32"/>
      <c r="I127" s="32"/>
      <c r="J127" s="32"/>
      <c r="K127" s="32"/>
      <c r="L127" s="32"/>
      <c r="M127" s="32"/>
    </row>
    <row r="128" spans="1:13" ht="15" customHeight="1" x14ac:dyDescent="0.2">
      <c r="B128" s="32"/>
      <c r="C128" s="32"/>
      <c r="D128" s="32"/>
      <c r="E128" s="32"/>
      <c r="F128" s="32"/>
      <c r="G128" s="32"/>
      <c r="H128" s="32"/>
      <c r="I128" s="32"/>
      <c r="J128" s="32"/>
      <c r="K128" s="32"/>
      <c r="L128" s="32"/>
      <c r="M128" s="32"/>
    </row>
  </sheetData>
  <mergeCells count="4">
    <mergeCell ref="A4:M4"/>
    <mergeCell ref="A5:A6"/>
    <mergeCell ref="B5:L5"/>
    <mergeCell ref="M5:M6"/>
  </mergeCells>
  <phoneticPr fontId="19" type="noConversion"/>
  <hyperlinks>
    <hyperlink ref="M2" location="Contents!A1" display="Back to Contents" xr:uid="{254C785B-6077-44A7-9AD8-D1218382E87C}"/>
  </hyperlinks>
  <pageMargins left="0.7" right="0.7" top="0.75" bottom="0.75" header="0.3" footer="0.3"/>
  <pageSetup paperSize="9" scale="55" orientation="landscape" r:id="rId1"/>
  <headerFooter>
    <oddHeader>&amp;L&amp;"Calibri"&amp;10&amp;K000000 [Limited Sharing]&amp;1#_x000D_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80D41-47B4-47C3-BADC-5C7B47BEE203}">
  <dimension ref="A1:R78"/>
  <sheetViews>
    <sheetView topLeftCell="D1" zoomScaleNormal="100" workbookViewId="0">
      <selection activeCell="Q2" sqref="Q2"/>
    </sheetView>
  </sheetViews>
  <sheetFormatPr defaultRowHeight="15" x14ac:dyDescent="0.25"/>
  <cols>
    <col min="1" max="1" width="40.7109375" customWidth="1"/>
    <col min="2" max="16" width="18.28515625" customWidth="1"/>
    <col min="17" max="17" width="19.28515625" customWidth="1"/>
    <col min="18" max="18" width="10.140625" bestFit="1" customWidth="1"/>
  </cols>
  <sheetData>
    <row r="1" spans="1:18" ht="15.75" x14ac:dyDescent="0.25">
      <c r="A1" s="13" t="s">
        <v>29</v>
      </c>
      <c r="B1" s="14"/>
      <c r="C1" s="14"/>
      <c r="D1" s="14"/>
      <c r="E1" s="14"/>
      <c r="F1" s="14"/>
      <c r="H1" s="15"/>
      <c r="I1" s="15"/>
      <c r="J1" s="15"/>
      <c r="K1" s="15"/>
      <c r="L1" s="15"/>
      <c r="N1" s="15"/>
      <c r="O1" s="15"/>
      <c r="Q1" s="15" t="s">
        <v>59</v>
      </c>
    </row>
    <row r="2" spans="1:18" ht="15.75" x14ac:dyDescent="0.25">
      <c r="A2" s="54" t="s">
        <v>286</v>
      </c>
      <c r="B2" s="14"/>
      <c r="C2" s="14"/>
      <c r="D2" s="14"/>
      <c r="E2" s="14"/>
      <c r="F2" s="14"/>
      <c r="H2" s="17"/>
      <c r="I2" s="17"/>
      <c r="J2" s="17"/>
      <c r="K2" s="17"/>
      <c r="L2" s="17"/>
      <c r="N2" s="17"/>
      <c r="O2" s="17"/>
      <c r="Q2" s="17" t="s">
        <v>10</v>
      </c>
    </row>
    <row r="3" spans="1:18" ht="15.75" x14ac:dyDescent="0.25">
      <c r="A3" s="16"/>
      <c r="B3" s="16"/>
      <c r="C3" s="16"/>
      <c r="D3" s="16"/>
      <c r="E3" s="16"/>
      <c r="F3" s="16"/>
      <c r="G3" s="16"/>
      <c r="H3" s="16"/>
      <c r="I3" s="16"/>
      <c r="J3" s="16"/>
      <c r="K3" s="16"/>
      <c r="L3" s="16"/>
      <c r="M3" s="16"/>
      <c r="N3" s="16"/>
      <c r="O3" s="16"/>
      <c r="P3" s="16"/>
    </row>
    <row r="4" spans="1:18" ht="18.75" x14ac:dyDescent="0.3">
      <c r="A4" s="221" t="s">
        <v>386</v>
      </c>
      <c r="B4" s="221"/>
      <c r="C4" s="221"/>
      <c r="D4" s="221"/>
      <c r="E4" s="221"/>
      <c r="F4" s="221"/>
      <c r="G4" s="221"/>
      <c r="H4" s="221"/>
      <c r="I4" s="221"/>
      <c r="J4" s="221"/>
      <c r="K4" s="221"/>
      <c r="L4" s="221"/>
      <c r="M4" s="221"/>
      <c r="N4" s="221"/>
      <c r="O4" s="221"/>
      <c r="P4" s="221"/>
    </row>
    <row r="5" spans="1:18" x14ac:dyDescent="0.25">
      <c r="A5" s="44" t="s">
        <v>60</v>
      </c>
      <c r="B5" s="51">
        <v>45682</v>
      </c>
      <c r="C5" s="51">
        <v>45713</v>
      </c>
      <c r="D5" s="51">
        <v>45741</v>
      </c>
      <c r="E5" s="51">
        <v>45772</v>
      </c>
      <c r="F5" s="51">
        <v>45802</v>
      </c>
      <c r="G5" s="51">
        <v>45833</v>
      </c>
      <c r="H5" s="51">
        <v>45863</v>
      </c>
      <c r="I5" s="51">
        <v>45894</v>
      </c>
      <c r="J5" s="51">
        <v>45925</v>
      </c>
      <c r="K5" s="51">
        <v>45955</v>
      </c>
      <c r="L5" s="51">
        <v>45986</v>
      </c>
      <c r="M5" s="51">
        <v>46016</v>
      </c>
      <c r="N5" s="51">
        <v>46048</v>
      </c>
      <c r="O5" s="51">
        <v>46079</v>
      </c>
      <c r="P5" s="51">
        <v>46107</v>
      </c>
      <c r="Q5" s="51">
        <v>46138</v>
      </c>
    </row>
    <row r="6" spans="1:18" x14ac:dyDescent="0.25">
      <c r="A6" s="45" t="s">
        <v>61</v>
      </c>
      <c r="B6" s="184">
        <v>55.888666093140785</v>
      </c>
      <c r="C6" s="184">
        <v>58.282272676121636</v>
      </c>
      <c r="D6" s="184">
        <v>86.270567708315738</v>
      </c>
      <c r="E6" s="184">
        <v>57.516733909219539</v>
      </c>
      <c r="F6" s="184">
        <v>68.921303204724424</v>
      </c>
      <c r="G6" s="184">
        <v>80.75121749681729</v>
      </c>
      <c r="H6" s="184">
        <v>88.169129139480816</v>
      </c>
      <c r="I6" s="184">
        <v>81.539157734060694</v>
      </c>
      <c r="J6" s="184">
        <v>85.05600411654045</v>
      </c>
      <c r="K6" s="184">
        <v>96.540611320866759</v>
      </c>
      <c r="L6" s="184">
        <v>70.551825988176802</v>
      </c>
      <c r="M6" s="184">
        <v>65.989861682161987</v>
      </c>
      <c r="N6" s="184">
        <v>71.085386678232254</v>
      </c>
      <c r="O6" s="184">
        <v>73.877763888341164</v>
      </c>
      <c r="P6" s="184">
        <v>89.038640129985012</v>
      </c>
      <c r="Q6" s="184">
        <v>81.185717877779055</v>
      </c>
    </row>
    <row r="7" spans="1:18" x14ac:dyDescent="0.25">
      <c r="A7" s="47" t="s">
        <v>62</v>
      </c>
      <c r="B7" s="184">
        <v>3.6177179285811718</v>
      </c>
      <c r="C7" s="184">
        <v>3.7327830341566166</v>
      </c>
      <c r="D7" s="184">
        <v>3.4119656989141931</v>
      </c>
      <c r="E7" s="184">
        <v>3.5602453579391367</v>
      </c>
      <c r="F7" s="184">
        <v>3.4826895751771292</v>
      </c>
      <c r="G7" s="184">
        <v>3.4937540038159205</v>
      </c>
      <c r="H7" s="184">
        <v>3.5044607512510728</v>
      </c>
      <c r="I7" s="184">
        <v>4.0566982852779754</v>
      </c>
      <c r="J7" s="184">
        <v>4.2071345403885898</v>
      </c>
      <c r="K7" s="184">
        <v>3.3260793750546385</v>
      </c>
      <c r="L7" s="184">
        <v>3.5712775382164672</v>
      </c>
      <c r="M7" s="184">
        <v>4.1049051894738984</v>
      </c>
      <c r="N7" s="184">
        <v>5.1280569997296972</v>
      </c>
      <c r="O7" s="184">
        <v>4.2896376822368998</v>
      </c>
      <c r="P7" s="184">
        <v>4.4956237558626144</v>
      </c>
      <c r="Q7" s="184">
        <v>2.4641709930273676</v>
      </c>
    </row>
    <row r="8" spans="1:18" x14ac:dyDescent="0.25">
      <c r="A8" s="47" t="s">
        <v>63</v>
      </c>
      <c r="B8" s="184">
        <v>22.449958464391202</v>
      </c>
      <c r="C8" s="184">
        <v>25.752772848963321</v>
      </c>
      <c r="D8" s="184">
        <v>36.34614802185807</v>
      </c>
      <c r="E8" s="184">
        <v>24.863793117771277</v>
      </c>
      <c r="F8" s="184">
        <v>29.665799257349853</v>
      </c>
      <c r="G8" s="184">
        <v>39.493353248767754</v>
      </c>
      <c r="H8" s="184">
        <v>39.903386391615086</v>
      </c>
      <c r="I8" s="184">
        <v>41.290701866170288</v>
      </c>
      <c r="J8" s="184">
        <v>42.564462720325089</v>
      </c>
      <c r="K8" s="184">
        <v>42.684891276199529</v>
      </c>
      <c r="L8" s="184">
        <v>33.118142035012582</v>
      </c>
      <c r="M8" s="184">
        <v>27.731653397515988</v>
      </c>
      <c r="N8" s="184">
        <v>30.148812536310672</v>
      </c>
      <c r="O8" s="184">
        <v>29.739387568939868</v>
      </c>
      <c r="P8" s="184">
        <v>32.456737406500345</v>
      </c>
      <c r="Q8" s="184">
        <v>23.947361529333879</v>
      </c>
    </row>
    <row r="9" spans="1:18" x14ac:dyDescent="0.25">
      <c r="A9" s="47" t="s">
        <v>64</v>
      </c>
      <c r="B9" s="184">
        <v>2.36364784745472</v>
      </c>
      <c r="C9" s="184">
        <v>2.5926211188955381</v>
      </c>
      <c r="D9" s="184">
        <v>3.0561874055875289</v>
      </c>
      <c r="E9" s="184">
        <v>1.5372045065976354</v>
      </c>
      <c r="F9" s="184">
        <v>2.6358276360974195</v>
      </c>
      <c r="G9" s="184">
        <v>2.6645019429719232</v>
      </c>
      <c r="H9" s="184">
        <v>2.6175607569962578</v>
      </c>
      <c r="I9" s="184">
        <v>2.5614896359437207</v>
      </c>
      <c r="J9" s="184">
        <v>2.6157001411338023</v>
      </c>
      <c r="K9" s="184">
        <v>2.8139977402471872</v>
      </c>
      <c r="L9" s="184">
        <v>2.5151273392590756</v>
      </c>
      <c r="M9" s="184">
        <v>3.0192839574529056</v>
      </c>
      <c r="N9" s="184">
        <v>2.1128396426851768</v>
      </c>
      <c r="O9" s="184">
        <v>3.126418611356597</v>
      </c>
      <c r="P9" s="184">
        <v>2.5546332325466503</v>
      </c>
      <c r="Q9" s="184">
        <v>2.1702748414843982</v>
      </c>
    </row>
    <row r="10" spans="1:18" x14ac:dyDescent="0.25">
      <c r="A10" s="47" t="s">
        <v>65</v>
      </c>
      <c r="B10" s="184">
        <v>3.4458663898526436</v>
      </c>
      <c r="C10" s="184">
        <v>2.4206810231958258</v>
      </c>
      <c r="D10" s="184">
        <v>3.2531732356907024</v>
      </c>
      <c r="E10" s="184">
        <v>2.7410519269007727</v>
      </c>
      <c r="F10" s="184">
        <v>2.1440248391692847</v>
      </c>
      <c r="G10" s="184">
        <v>3.7165351745607054</v>
      </c>
      <c r="H10" s="184">
        <v>2.8951826288175182</v>
      </c>
      <c r="I10" s="184">
        <v>3.2071372696392673</v>
      </c>
      <c r="J10" s="184">
        <v>3.2155855232788051</v>
      </c>
      <c r="K10" s="184">
        <v>5.6356903709788364</v>
      </c>
      <c r="L10" s="184">
        <v>5.990390247007479</v>
      </c>
      <c r="M10" s="184">
        <v>5.6423123315617776</v>
      </c>
      <c r="N10" s="184">
        <v>7.8495561822045952</v>
      </c>
      <c r="O10" s="184">
        <v>8.874122489444467</v>
      </c>
      <c r="P10" s="184">
        <v>8.8802333055157376</v>
      </c>
      <c r="Q10" s="184">
        <v>7.6356310809081327</v>
      </c>
    </row>
    <row r="11" spans="1:18" x14ac:dyDescent="0.25">
      <c r="A11" s="47" t="s">
        <v>66</v>
      </c>
      <c r="B11" s="184">
        <v>4.3380292937123288</v>
      </c>
      <c r="C11" s="184">
        <v>4.4141954910220029</v>
      </c>
      <c r="D11" s="184">
        <v>8.2541320642494824</v>
      </c>
      <c r="E11" s="184">
        <v>3.7433397581224339</v>
      </c>
      <c r="F11" s="184">
        <v>5.334285795396478</v>
      </c>
      <c r="G11" s="184">
        <v>7.546108744407328</v>
      </c>
      <c r="H11" s="184">
        <v>6.5258197267085043</v>
      </c>
      <c r="I11" s="184">
        <v>9.1154463063507105</v>
      </c>
      <c r="J11" s="184">
        <v>7.4781191314893842</v>
      </c>
      <c r="K11" s="184">
        <v>6.627584436406103</v>
      </c>
      <c r="L11" s="184">
        <v>7.0465316552797974</v>
      </c>
      <c r="M11" s="184">
        <v>7.8843212778488034</v>
      </c>
      <c r="N11" s="184">
        <v>5.7552426078001222</v>
      </c>
      <c r="O11" s="184">
        <v>5.8241398993676698</v>
      </c>
      <c r="P11" s="184">
        <v>7.968579783009937</v>
      </c>
      <c r="Q11" s="184">
        <v>6.8947714863099083</v>
      </c>
      <c r="R11" s="165"/>
    </row>
    <row r="12" spans="1:18" x14ac:dyDescent="0.25">
      <c r="A12" s="47" t="s">
        <v>67</v>
      </c>
      <c r="B12" s="184">
        <v>19.673446169148718</v>
      </c>
      <c r="C12" s="184">
        <v>19.369219159888328</v>
      </c>
      <c r="D12" s="184">
        <v>31.948961282015766</v>
      </c>
      <c r="E12" s="184">
        <v>21.07109924188828</v>
      </c>
      <c r="F12" s="184">
        <v>25.658676101534258</v>
      </c>
      <c r="G12" s="184">
        <v>23.836964382293658</v>
      </c>
      <c r="H12" s="184">
        <v>32.72271888409238</v>
      </c>
      <c r="I12" s="184">
        <v>21.307684370678729</v>
      </c>
      <c r="J12" s="184">
        <v>24.975002059924776</v>
      </c>
      <c r="K12" s="184">
        <v>35.45236812198047</v>
      </c>
      <c r="L12" s="184">
        <v>18.310357173401407</v>
      </c>
      <c r="M12" s="184">
        <v>17.607385528308619</v>
      </c>
      <c r="N12" s="184">
        <v>20.090878709502</v>
      </c>
      <c r="O12" s="184">
        <v>22.024057636995661</v>
      </c>
      <c r="P12" s="184">
        <v>32.682832646549734</v>
      </c>
      <c r="Q12" s="184">
        <v>38.073507946715374</v>
      </c>
    </row>
    <row r="13" spans="1:18" x14ac:dyDescent="0.25">
      <c r="A13" s="47"/>
      <c r="B13" s="46"/>
      <c r="C13" s="46"/>
      <c r="D13" s="46"/>
      <c r="E13" s="46"/>
      <c r="F13" s="46"/>
      <c r="G13" s="46"/>
      <c r="H13" s="46"/>
      <c r="I13" s="46"/>
      <c r="J13" s="46"/>
      <c r="K13" s="46"/>
      <c r="L13" s="46"/>
      <c r="M13" s="46"/>
      <c r="N13" s="46"/>
      <c r="O13" s="46"/>
      <c r="P13" s="46"/>
      <c r="Q13" s="46"/>
    </row>
    <row r="14" spans="1:18" x14ac:dyDescent="0.25">
      <c r="A14" s="47" t="s">
        <v>68</v>
      </c>
      <c r="B14" s="184">
        <v>11.775751037546138</v>
      </c>
      <c r="C14" s="184">
        <v>11.808779100913265</v>
      </c>
      <c r="D14" s="184">
        <v>12.578222298071367</v>
      </c>
      <c r="E14" s="184">
        <v>12.683992205839791</v>
      </c>
      <c r="F14" s="184">
        <v>14.287313467430737</v>
      </c>
      <c r="G14" s="184">
        <v>13.128032086545778</v>
      </c>
      <c r="H14" s="184">
        <v>18.149728425417365</v>
      </c>
      <c r="I14" s="184">
        <v>12.848111616638876</v>
      </c>
      <c r="J14" s="184">
        <v>13.234720086831206</v>
      </c>
      <c r="K14" s="184">
        <v>15.58488541073894</v>
      </c>
      <c r="L14" s="184">
        <v>14.646725987197524</v>
      </c>
      <c r="M14" s="184">
        <v>18.586445379039972</v>
      </c>
      <c r="N14" s="184">
        <v>16.419581726836494</v>
      </c>
      <c r="O14" s="184">
        <v>18.303246284794795</v>
      </c>
      <c r="P14" s="184">
        <v>17.269788412085553</v>
      </c>
      <c r="Q14" s="184">
        <v>12.352587350668269</v>
      </c>
    </row>
    <row r="15" spans="1:18" x14ac:dyDescent="0.25">
      <c r="A15" s="47"/>
      <c r="B15" s="46"/>
      <c r="C15" s="46"/>
      <c r="D15" s="46"/>
      <c r="E15" s="46"/>
      <c r="F15" s="46"/>
      <c r="G15" s="46"/>
      <c r="H15" s="46"/>
      <c r="I15" s="46"/>
      <c r="J15" s="46"/>
      <c r="K15" s="46"/>
      <c r="L15" s="46"/>
      <c r="M15" s="46"/>
      <c r="N15" s="46"/>
      <c r="O15" s="46"/>
      <c r="P15" s="46"/>
      <c r="Q15" s="46"/>
    </row>
    <row r="16" spans="1:18" x14ac:dyDescent="0.25">
      <c r="A16" s="47" t="s">
        <v>69</v>
      </c>
      <c r="B16" s="50">
        <v>461.3429398885001</v>
      </c>
      <c r="C16" s="50">
        <v>428.31495380780677</v>
      </c>
      <c r="D16" s="50">
        <v>496.91050435437921</v>
      </c>
      <c r="E16" s="50">
        <v>365.27220629535537</v>
      </c>
      <c r="F16" s="50">
        <v>389.87342095331479</v>
      </c>
      <c r="G16" s="50">
        <v>464.11582239029229</v>
      </c>
      <c r="H16" s="50">
        <v>481.4221384808867</v>
      </c>
      <c r="I16" s="50">
        <v>508.08340489921528</v>
      </c>
      <c r="J16" s="50">
        <v>426.02028035493578</v>
      </c>
      <c r="K16" s="50">
        <v>430.78682211456783</v>
      </c>
      <c r="L16" s="50">
        <v>389.89440715593759</v>
      </c>
      <c r="M16" s="50">
        <v>471.62397103307268</v>
      </c>
      <c r="N16" s="50">
        <v>448.59828919106837</v>
      </c>
      <c r="O16" s="50">
        <v>385.93679050360777</v>
      </c>
      <c r="P16" s="50">
        <v>442.15792947326003</v>
      </c>
      <c r="Q16" s="50">
        <v>348.00238589483695</v>
      </c>
    </row>
    <row r="17" spans="1:17" x14ac:dyDescent="0.25">
      <c r="A17" s="47" t="s">
        <v>70</v>
      </c>
      <c r="B17" s="50">
        <v>428.38792656212649</v>
      </c>
      <c r="C17" s="50">
        <v>398.7650733010471</v>
      </c>
      <c r="D17" s="50">
        <v>456.35881675447519</v>
      </c>
      <c r="E17" s="50">
        <v>336.09997639107735</v>
      </c>
      <c r="F17" s="50">
        <v>354.97112085532348</v>
      </c>
      <c r="G17" s="50">
        <v>428.67143648212374</v>
      </c>
      <c r="H17" s="50">
        <v>445.24038191535186</v>
      </c>
      <c r="I17" s="50">
        <v>469.63414984820349</v>
      </c>
      <c r="J17" s="50">
        <v>395.33646834582254</v>
      </c>
      <c r="K17" s="50">
        <v>397.61102897596913</v>
      </c>
      <c r="L17" s="50">
        <v>360.98946557661736</v>
      </c>
      <c r="M17" s="50">
        <v>439.34364214981264</v>
      </c>
      <c r="N17" s="50">
        <v>417.00283054543758</v>
      </c>
      <c r="O17" s="50">
        <v>352.30191902543214</v>
      </c>
      <c r="P17" s="50">
        <v>409.24817480456886</v>
      </c>
      <c r="Q17" s="50">
        <v>321.17337122750246</v>
      </c>
    </row>
    <row r="18" spans="1:17" x14ac:dyDescent="0.25">
      <c r="A18" s="47" t="s">
        <v>71</v>
      </c>
      <c r="B18" s="50">
        <v>14.966249610033913</v>
      </c>
      <c r="C18" s="50">
        <v>12.755005754651059</v>
      </c>
      <c r="D18" s="50">
        <v>16.963233271039407</v>
      </c>
      <c r="E18" s="50">
        <v>12.903731385530222</v>
      </c>
      <c r="F18" s="50">
        <v>14.091316029767459</v>
      </c>
      <c r="G18" s="50">
        <v>14.093596508719198</v>
      </c>
      <c r="H18" s="50">
        <v>14.778554036457686</v>
      </c>
      <c r="I18" s="50">
        <v>16.346979539227121</v>
      </c>
      <c r="J18" s="50">
        <v>13.062480761626167</v>
      </c>
      <c r="K18" s="50">
        <v>12.894151228596265</v>
      </c>
      <c r="L18" s="50">
        <v>12.055728239545353</v>
      </c>
      <c r="M18" s="50">
        <v>14.607510715525086</v>
      </c>
      <c r="N18" s="50">
        <v>12.967210009491234</v>
      </c>
      <c r="O18" s="50">
        <v>13.848657826158069</v>
      </c>
      <c r="P18" s="50">
        <v>14.292993165720302</v>
      </c>
      <c r="Q18" s="50">
        <v>9.7440966435614929</v>
      </c>
    </row>
    <row r="19" spans="1:17" x14ac:dyDescent="0.25">
      <c r="A19" s="47" t="s">
        <v>72</v>
      </c>
      <c r="B19" s="50">
        <v>7.437127229559362</v>
      </c>
      <c r="C19" s="50">
        <v>5.9908835747838465</v>
      </c>
      <c r="D19" s="50">
        <v>11.219355197036927</v>
      </c>
      <c r="E19" s="50">
        <v>6.4687641090780463</v>
      </c>
      <c r="F19" s="50">
        <v>8.4774033963653039</v>
      </c>
      <c r="G19" s="50">
        <v>8.7280924463840446</v>
      </c>
      <c r="H19" s="50">
        <v>9.0063291453256298</v>
      </c>
      <c r="I19" s="50">
        <v>9.5725323469405694</v>
      </c>
      <c r="J19" s="50">
        <v>8.438608728455586</v>
      </c>
      <c r="K19" s="50">
        <v>8.3317489068239592</v>
      </c>
      <c r="L19" s="50">
        <v>7.0980859156446785</v>
      </c>
      <c r="M19" s="50">
        <v>7.6845187514007884</v>
      </c>
      <c r="N19" s="50">
        <v>5.9706713943073897</v>
      </c>
      <c r="O19" s="50">
        <v>7.7619480398159055</v>
      </c>
      <c r="P19" s="50">
        <v>7.6275067398623149</v>
      </c>
      <c r="Q19" s="50">
        <v>7.1067512178011478</v>
      </c>
    </row>
    <row r="20" spans="1:17" x14ac:dyDescent="0.25">
      <c r="A20" s="47" t="s">
        <v>73</v>
      </c>
      <c r="B20" s="50">
        <v>10.551636486780328</v>
      </c>
      <c r="C20" s="50">
        <v>10.803991177324772</v>
      </c>
      <c r="D20" s="50">
        <v>12.369099131827694</v>
      </c>
      <c r="E20" s="50">
        <v>9.7997344096697585</v>
      </c>
      <c r="F20" s="50">
        <v>12.333580671858552</v>
      </c>
      <c r="G20" s="50">
        <v>12.622696953065313</v>
      </c>
      <c r="H20" s="50">
        <v>12.396873383751526</v>
      </c>
      <c r="I20" s="50">
        <v>12.529743164844099</v>
      </c>
      <c r="J20" s="50">
        <v>9.1827225190314845</v>
      </c>
      <c r="K20" s="50">
        <v>11.949893003178468</v>
      </c>
      <c r="L20" s="50">
        <v>9.7511274241301926</v>
      </c>
      <c r="M20" s="50">
        <v>9.988299416334165</v>
      </c>
      <c r="N20" s="50">
        <v>12.657577241832177</v>
      </c>
      <c r="O20" s="50">
        <v>12.024265612201653</v>
      </c>
      <c r="P20" s="50">
        <v>10.989254763108544</v>
      </c>
      <c r="Q20" s="50">
        <v>9.9781668059718527</v>
      </c>
    </row>
    <row r="21" spans="1:17" x14ac:dyDescent="0.25">
      <c r="A21" s="47"/>
      <c r="B21" s="46"/>
      <c r="C21" s="46"/>
      <c r="D21" s="46"/>
      <c r="E21" s="46"/>
      <c r="F21" s="46"/>
      <c r="G21" s="46"/>
      <c r="H21" s="46"/>
      <c r="I21" s="46"/>
      <c r="J21" s="46"/>
      <c r="K21" s="46"/>
      <c r="L21" s="46"/>
      <c r="M21" s="46"/>
      <c r="N21" s="46"/>
      <c r="O21" s="46"/>
      <c r="P21" s="46"/>
      <c r="Q21" s="46"/>
    </row>
    <row r="22" spans="1:17" x14ac:dyDescent="0.25">
      <c r="A22" s="47" t="s">
        <v>74</v>
      </c>
      <c r="B22" s="50">
        <v>71.715061280385285</v>
      </c>
      <c r="C22" s="50">
        <v>80.138433377110914</v>
      </c>
      <c r="D22" s="50">
        <v>90.264292782578423</v>
      </c>
      <c r="E22" s="50">
        <v>59.111353289036458</v>
      </c>
      <c r="F22" s="50">
        <v>71.411452158915637</v>
      </c>
      <c r="G22" s="50">
        <v>80.432273930698557</v>
      </c>
      <c r="H22" s="50">
        <v>81.692942165908335</v>
      </c>
      <c r="I22" s="50">
        <v>83.799618536789552</v>
      </c>
      <c r="J22" s="50">
        <v>71.192675132488731</v>
      </c>
      <c r="K22" s="50">
        <v>77.149425673101192</v>
      </c>
      <c r="L22" s="50">
        <v>73.513372557916355</v>
      </c>
      <c r="M22" s="50">
        <v>74.197203750053774</v>
      </c>
      <c r="N22" s="50">
        <v>75.579366819299338</v>
      </c>
      <c r="O22" s="50">
        <v>75.459359579239717</v>
      </c>
      <c r="P22" s="50">
        <v>89.223317814043597</v>
      </c>
      <c r="Q22" s="50">
        <v>61.907000431345722</v>
      </c>
    </row>
    <row r="23" spans="1:17" x14ac:dyDescent="0.25">
      <c r="A23" s="47" t="s">
        <v>75</v>
      </c>
      <c r="B23" s="50">
        <v>35.375572186605694</v>
      </c>
      <c r="C23" s="50">
        <v>46.698125665002486</v>
      </c>
      <c r="D23" s="50">
        <v>51.804262195472255</v>
      </c>
      <c r="E23" s="50">
        <v>35.241158475228048</v>
      </c>
      <c r="F23" s="50">
        <v>43.488626718438873</v>
      </c>
      <c r="G23" s="50">
        <v>45.611523267313856</v>
      </c>
      <c r="H23" s="50">
        <v>49.048833511500497</v>
      </c>
      <c r="I23" s="50">
        <v>47.506342113197462</v>
      </c>
      <c r="J23" s="50">
        <v>39.265703830798273</v>
      </c>
      <c r="K23" s="50">
        <v>43.401591687408562</v>
      </c>
      <c r="L23" s="50">
        <v>42.280616467600474</v>
      </c>
      <c r="M23" s="50">
        <v>40.265982780127743</v>
      </c>
      <c r="N23" s="50">
        <v>41.91677866044725</v>
      </c>
      <c r="O23" s="50">
        <v>44.806091013234251</v>
      </c>
      <c r="P23" s="50">
        <v>54.590015578066826</v>
      </c>
      <c r="Q23" s="50">
        <v>33.835842800555533</v>
      </c>
    </row>
    <row r="24" spans="1:17" x14ac:dyDescent="0.25">
      <c r="A24" s="47" t="s">
        <v>76</v>
      </c>
      <c r="B24" s="50">
        <v>27.909428657476749</v>
      </c>
      <c r="C24" s="50">
        <v>23.786049155771124</v>
      </c>
      <c r="D24" s="50">
        <v>28.411831921300131</v>
      </c>
      <c r="E24" s="50">
        <v>17.583111996334051</v>
      </c>
      <c r="F24" s="50">
        <v>21.087540998389525</v>
      </c>
      <c r="G24" s="50">
        <v>26.175576949624105</v>
      </c>
      <c r="H24" s="50">
        <v>23.907577856394944</v>
      </c>
      <c r="I24" s="50">
        <v>27.82737697979794</v>
      </c>
      <c r="J24" s="50">
        <v>23.636869063238866</v>
      </c>
      <c r="K24" s="50">
        <v>25.328257661304292</v>
      </c>
      <c r="L24" s="50">
        <v>21.726741358655381</v>
      </c>
      <c r="M24" s="50">
        <v>25.75649015251896</v>
      </c>
      <c r="N24" s="50">
        <v>24.993977014998347</v>
      </c>
      <c r="O24" s="50">
        <v>22.608499084249676</v>
      </c>
      <c r="P24" s="50">
        <v>25.372805469090896</v>
      </c>
      <c r="Q24" s="50">
        <v>21.596030143639702</v>
      </c>
    </row>
    <row r="25" spans="1:17" x14ac:dyDescent="0.25">
      <c r="A25" s="47" t="s">
        <v>77</v>
      </c>
      <c r="B25" s="50">
        <v>8.4300604363028384</v>
      </c>
      <c r="C25" s="50">
        <v>9.6542585563372914</v>
      </c>
      <c r="D25" s="50">
        <v>10.048198665806042</v>
      </c>
      <c r="E25" s="50">
        <v>6.2870828174743538</v>
      </c>
      <c r="F25" s="50">
        <v>6.8352844420872492</v>
      </c>
      <c r="G25" s="50">
        <v>8.6451737137605882</v>
      </c>
      <c r="H25" s="50">
        <v>8.7365307980128968</v>
      </c>
      <c r="I25" s="50">
        <v>8.4658994437941537</v>
      </c>
      <c r="J25" s="50">
        <v>8.290102238451599</v>
      </c>
      <c r="K25" s="50">
        <v>8.4195763243883412</v>
      </c>
      <c r="L25" s="50">
        <v>9.5060147316605033</v>
      </c>
      <c r="M25" s="50">
        <v>8.174730817407065</v>
      </c>
      <c r="N25" s="50">
        <v>8.6686111438537363</v>
      </c>
      <c r="O25" s="50">
        <v>8.0447694817557824</v>
      </c>
      <c r="P25" s="50">
        <v>9.2604967668858844</v>
      </c>
      <c r="Q25" s="50">
        <v>6.4751274871504787</v>
      </c>
    </row>
    <row r="26" spans="1:17" x14ac:dyDescent="0.25">
      <c r="A26" s="47"/>
      <c r="B26" s="46"/>
      <c r="C26" s="46"/>
      <c r="D26" s="46"/>
      <c r="E26" s="46"/>
      <c r="F26" s="46"/>
      <c r="G26" s="46"/>
      <c r="H26" s="46"/>
      <c r="I26" s="46"/>
      <c r="J26" s="46"/>
      <c r="K26" s="46"/>
      <c r="L26" s="46"/>
      <c r="M26" s="46"/>
      <c r="N26" s="46"/>
      <c r="O26" s="46"/>
      <c r="P26" s="46"/>
      <c r="Q26" s="46"/>
    </row>
    <row r="27" spans="1:17" x14ac:dyDescent="0.25">
      <c r="A27" s="47" t="s">
        <v>110</v>
      </c>
      <c r="B27" s="50">
        <v>37.713736429517759</v>
      </c>
      <c r="C27" s="50">
        <v>27.675512521588363</v>
      </c>
      <c r="D27" s="50">
        <v>26.816151974221803</v>
      </c>
      <c r="E27" s="50">
        <v>30.74361522949695</v>
      </c>
      <c r="F27" s="50">
        <v>34.296774884591315</v>
      </c>
      <c r="G27" s="50">
        <v>31.633659171814468</v>
      </c>
      <c r="H27" s="50">
        <v>37.376406591952694</v>
      </c>
      <c r="I27" s="50">
        <v>40.74024821593882</v>
      </c>
      <c r="J27" s="50">
        <v>32.549247258347663</v>
      </c>
      <c r="K27" s="50">
        <v>40.833561953943935</v>
      </c>
      <c r="L27" s="50">
        <v>24.112385477285564</v>
      </c>
      <c r="M27" s="50">
        <v>23.531477308862943</v>
      </c>
      <c r="N27" s="50">
        <v>38.999457272130421</v>
      </c>
      <c r="O27" s="50">
        <v>34.481771929133274</v>
      </c>
      <c r="P27" s="50">
        <v>28.325484755744309</v>
      </c>
      <c r="Q27" s="50">
        <v>31.084005843802284</v>
      </c>
    </row>
    <row r="28" spans="1:17" x14ac:dyDescent="0.25">
      <c r="A28" s="47" t="s">
        <v>78</v>
      </c>
      <c r="B28" s="50">
        <v>18.782699159327649</v>
      </c>
      <c r="C28" s="50">
        <v>16.380017363783569</v>
      </c>
      <c r="D28" s="50">
        <v>13.66487493776803</v>
      </c>
      <c r="E28" s="50">
        <v>18.47478288343061</v>
      </c>
      <c r="F28" s="50">
        <v>18.487334842736253</v>
      </c>
      <c r="G28" s="50">
        <v>13.98693113523311</v>
      </c>
      <c r="H28" s="50">
        <v>21.02250188960145</v>
      </c>
      <c r="I28" s="50">
        <v>23.182570413689916</v>
      </c>
      <c r="J28" s="50">
        <v>19.484571262345071</v>
      </c>
      <c r="K28" s="50">
        <v>18.448432435205302</v>
      </c>
      <c r="L28" s="50">
        <v>13.463944716122567</v>
      </c>
      <c r="M28" s="50">
        <v>11.087038228996098</v>
      </c>
      <c r="N28" s="50">
        <v>22.173227066329815</v>
      </c>
      <c r="O28" s="50">
        <v>19.84327102476114</v>
      </c>
      <c r="P28" s="50">
        <v>10.903805732978663</v>
      </c>
      <c r="Q28" s="50">
        <v>16.693333234065882</v>
      </c>
    </row>
    <row r="29" spans="1:17" x14ac:dyDescent="0.25">
      <c r="A29" s="47" t="s">
        <v>79</v>
      </c>
      <c r="B29" s="50">
        <v>16.852102722571033</v>
      </c>
      <c r="C29" s="50">
        <v>10.463277250968147</v>
      </c>
      <c r="D29" s="50">
        <v>11.509469621572851</v>
      </c>
      <c r="E29" s="50">
        <v>11.08031558952632</v>
      </c>
      <c r="F29" s="50">
        <v>14.606384118355111</v>
      </c>
      <c r="G29" s="50">
        <v>15.762444630601921</v>
      </c>
      <c r="H29" s="50">
        <v>14.258323645589144</v>
      </c>
      <c r="I29" s="50">
        <v>14.82935569620925</v>
      </c>
      <c r="J29" s="50">
        <v>11.236222368532953</v>
      </c>
      <c r="K29" s="50">
        <v>20.609838165377617</v>
      </c>
      <c r="L29" s="50">
        <v>8.5721464971747725</v>
      </c>
      <c r="M29" s="50">
        <v>10.871472777084414</v>
      </c>
      <c r="N29" s="50">
        <v>14.780781384712814</v>
      </c>
      <c r="O29" s="50">
        <v>12.288505333946635</v>
      </c>
      <c r="P29" s="50">
        <v>15.88848579901633</v>
      </c>
      <c r="Q29" s="50">
        <v>12.586307448281964</v>
      </c>
    </row>
    <row r="30" spans="1:17" x14ac:dyDescent="0.25">
      <c r="A30" s="47" t="s">
        <v>80</v>
      </c>
      <c r="B30" s="50">
        <v>2.0789345476190793</v>
      </c>
      <c r="C30" s="50">
        <v>0.83221790683664687</v>
      </c>
      <c r="D30" s="50">
        <v>1.6418074148809265</v>
      </c>
      <c r="E30" s="50">
        <v>1.1885167565400201</v>
      </c>
      <c r="F30" s="50">
        <v>1.2030559234999543</v>
      </c>
      <c r="G30" s="50">
        <v>1.884283405979432</v>
      </c>
      <c r="H30" s="50">
        <v>2.0955810567621</v>
      </c>
      <c r="I30" s="50">
        <v>2.7283221060396543</v>
      </c>
      <c r="J30" s="50">
        <v>1.828453627469635</v>
      </c>
      <c r="K30" s="50">
        <v>1.7752913533610111</v>
      </c>
      <c r="L30" s="50">
        <v>2.0762942639882231</v>
      </c>
      <c r="M30" s="50">
        <v>1.5729663027824305</v>
      </c>
      <c r="N30" s="50">
        <v>2.0454488210877875</v>
      </c>
      <c r="O30" s="50">
        <v>2.3499955704254982</v>
      </c>
      <c r="P30" s="50">
        <v>1.5331932237493224</v>
      </c>
      <c r="Q30" s="50">
        <v>1.8043651614544414</v>
      </c>
    </row>
    <row r="31" spans="1:17" x14ac:dyDescent="0.25">
      <c r="A31" s="47"/>
      <c r="B31" s="46"/>
      <c r="C31" s="46"/>
      <c r="D31" s="46"/>
      <c r="E31" s="46"/>
      <c r="F31" s="46"/>
      <c r="G31" s="46"/>
      <c r="H31" s="46"/>
      <c r="I31" s="46"/>
      <c r="J31" s="46"/>
      <c r="K31" s="46"/>
      <c r="L31" s="46"/>
      <c r="M31" s="46"/>
      <c r="N31" s="46"/>
      <c r="O31" s="46"/>
      <c r="P31" s="46"/>
      <c r="Q31" s="46"/>
    </row>
    <row r="32" spans="1:17" x14ac:dyDescent="0.25">
      <c r="A32" s="47" t="s">
        <v>81</v>
      </c>
      <c r="B32" s="50">
        <v>32.416135706172874</v>
      </c>
      <c r="C32" s="50">
        <v>36.746976924792641</v>
      </c>
      <c r="D32" s="50">
        <v>42.020025092173604</v>
      </c>
      <c r="E32" s="50">
        <v>34.464761378375194</v>
      </c>
      <c r="F32" s="50">
        <v>40.420807640385796</v>
      </c>
      <c r="G32" s="50">
        <v>39.315499780928</v>
      </c>
      <c r="H32" s="50">
        <v>43.759290320159593</v>
      </c>
      <c r="I32" s="50">
        <v>44.13492392262274</v>
      </c>
      <c r="J32" s="50">
        <v>40.594111527140541</v>
      </c>
      <c r="K32" s="50">
        <v>44.758359336985222</v>
      </c>
      <c r="L32" s="50">
        <v>54.678097944487789</v>
      </c>
      <c r="M32" s="50">
        <v>39.12761940537689</v>
      </c>
      <c r="N32" s="50">
        <v>49.110333772425427</v>
      </c>
      <c r="O32" s="50">
        <v>52.445059803377127</v>
      </c>
      <c r="P32" s="50">
        <v>55.342748363405299</v>
      </c>
      <c r="Q32" s="50">
        <v>46.349185322237375</v>
      </c>
    </row>
    <row r="33" spans="1:17" x14ac:dyDescent="0.25">
      <c r="A33" s="47" t="s">
        <v>82</v>
      </c>
      <c r="B33" s="50">
        <v>1.777483243275364</v>
      </c>
      <c r="C33" s="50">
        <v>2.5930744593896162</v>
      </c>
      <c r="D33" s="50">
        <v>3.0890098408632385</v>
      </c>
      <c r="E33" s="50">
        <v>1.6342594676871296</v>
      </c>
      <c r="F33" s="50">
        <v>2.9640063831307937</v>
      </c>
      <c r="G33" s="50">
        <v>2.7562993570553522</v>
      </c>
      <c r="H33" s="50">
        <v>3.2576922121520968</v>
      </c>
      <c r="I33" s="50">
        <v>2.7259069863553935</v>
      </c>
      <c r="J33" s="50">
        <v>2.6940823076452167</v>
      </c>
      <c r="K33" s="50">
        <v>2.4482970832694173</v>
      </c>
      <c r="L33" s="50">
        <v>3.3663903579927337</v>
      </c>
      <c r="M33" s="50">
        <v>3.744850846165066</v>
      </c>
      <c r="N33" s="50">
        <v>2.1730265318624875</v>
      </c>
      <c r="O33" s="50">
        <v>3.4811017772602999</v>
      </c>
      <c r="P33" s="50">
        <v>4.705169327719374</v>
      </c>
      <c r="Q33" s="50">
        <v>3.7424096267516505</v>
      </c>
    </row>
    <row r="34" spans="1:17" x14ac:dyDescent="0.25">
      <c r="A34" s="47" t="s">
        <v>83</v>
      </c>
      <c r="B34" s="50">
        <v>11.875377203561623</v>
      </c>
      <c r="C34" s="50">
        <v>11.739840402771666</v>
      </c>
      <c r="D34" s="50">
        <v>14.699051657773166</v>
      </c>
      <c r="E34" s="50">
        <v>11.492293643009509</v>
      </c>
      <c r="F34" s="50">
        <v>14.82256162867359</v>
      </c>
      <c r="G34" s="50">
        <v>14.471466638701919</v>
      </c>
      <c r="H34" s="50">
        <v>15.641155758618526</v>
      </c>
      <c r="I34" s="50">
        <v>17.147000150254186</v>
      </c>
      <c r="J34" s="50">
        <v>14.963588054752636</v>
      </c>
      <c r="K34" s="50">
        <v>15.508407715488875</v>
      </c>
      <c r="L34" s="50">
        <v>16.632753198170704</v>
      </c>
      <c r="M34" s="50">
        <v>13.070552980279164</v>
      </c>
      <c r="N34" s="50">
        <v>15.927236112811034</v>
      </c>
      <c r="O34" s="50">
        <v>18.780236672810457</v>
      </c>
      <c r="P34" s="50">
        <v>15.286334364497268</v>
      </c>
      <c r="Q34" s="50">
        <v>18.439409906415356</v>
      </c>
    </row>
    <row r="35" spans="1:17" x14ac:dyDescent="0.25">
      <c r="A35" s="47" t="s">
        <v>84</v>
      </c>
      <c r="B35" s="50">
        <v>4.295089206008786</v>
      </c>
      <c r="C35" s="50">
        <v>5.488452861389054</v>
      </c>
      <c r="D35" s="50">
        <v>6.0383046916450676</v>
      </c>
      <c r="E35" s="50">
        <v>4.9417152579026915</v>
      </c>
      <c r="F35" s="50">
        <v>5.358535450222468</v>
      </c>
      <c r="G35" s="50">
        <v>6.0671868120655654</v>
      </c>
      <c r="H35" s="50">
        <v>6.7247402130102216</v>
      </c>
      <c r="I35" s="50">
        <v>7.9825860968107962</v>
      </c>
      <c r="J35" s="50">
        <v>8.4840185806870068</v>
      </c>
      <c r="K35" s="50">
        <v>8.1228444316886623</v>
      </c>
      <c r="L35" s="50">
        <v>5.6693318524418386</v>
      </c>
      <c r="M35" s="50">
        <v>7.1125618586491832</v>
      </c>
      <c r="N35" s="50">
        <v>7.4593401508328157</v>
      </c>
      <c r="O35" s="50">
        <v>5.9466231375487366</v>
      </c>
      <c r="P35" s="50">
        <v>8.0893206725339031</v>
      </c>
      <c r="Q35" s="50">
        <v>7.1961574301275233</v>
      </c>
    </row>
    <row r="36" spans="1:17" x14ac:dyDescent="0.25">
      <c r="A36" s="47" t="s">
        <v>85</v>
      </c>
      <c r="B36" s="50">
        <v>14.468186053327102</v>
      </c>
      <c r="C36" s="50">
        <v>16.925609201242303</v>
      </c>
      <c r="D36" s="50">
        <v>18.193658901892128</v>
      </c>
      <c r="E36" s="50">
        <v>16.39649300977586</v>
      </c>
      <c r="F36" s="50">
        <v>17.275704178358943</v>
      </c>
      <c r="G36" s="50">
        <v>16.020546973105162</v>
      </c>
      <c r="H36" s="50">
        <v>18.135702136378754</v>
      </c>
      <c r="I36" s="50">
        <v>16.279430689202368</v>
      </c>
      <c r="J36" s="50">
        <v>14.452422584055682</v>
      </c>
      <c r="K36" s="50">
        <v>18.678810106538268</v>
      </c>
      <c r="L36" s="50">
        <v>29.00962253588251</v>
      </c>
      <c r="M36" s="50">
        <v>15.199653720283479</v>
      </c>
      <c r="N36" s="50">
        <v>23.550730976919088</v>
      </c>
      <c r="O36" s="50">
        <v>24.237098215757634</v>
      </c>
      <c r="P36" s="50">
        <v>27.261923998654751</v>
      </c>
      <c r="Q36" s="50">
        <v>16.971208358942842</v>
      </c>
    </row>
    <row r="37" spans="1:17" x14ac:dyDescent="0.25">
      <c r="A37" s="47"/>
      <c r="B37" s="184"/>
      <c r="C37" s="184"/>
      <c r="D37" s="184"/>
      <c r="E37" s="184"/>
      <c r="F37" s="184"/>
      <c r="G37" s="184"/>
      <c r="H37" s="184"/>
      <c r="I37" s="184"/>
      <c r="J37" s="184"/>
      <c r="K37" s="184"/>
      <c r="L37" s="184"/>
      <c r="M37" s="184"/>
      <c r="N37" s="184"/>
      <c r="O37" s="184"/>
      <c r="P37" s="184"/>
      <c r="Q37" s="184"/>
    </row>
    <row r="38" spans="1:17" x14ac:dyDescent="0.25">
      <c r="A38" s="47" t="s">
        <v>86</v>
      </c>
      <c r="B38" s="50">
        <v>4.4272407147555066</v>
      </c>
      <c r="C38" s="50">
        <v>8.8251719926388983</v>
      </c>
      <c r="D38" s="50">
        <v>6.4515831353558015</v>
      </c>
      <c r="E38" s="50">
        <v>19.329956607550567</v>
      </c>
      <c r="F38" s="50">
        <v>6.4782959759423564</v>
      </c>
      <c r="G38" s="50">
        <v>8.5140712980999762</v>
      </c>
      <c r="H38" s="50">
        <v>7.2232997588682579</v>
      </c>
      <c r="I38" s="50">
        <v>22.684035008230811</v>
      </c>
      <c r="J38" s="50">
        <v>5.9032883745787084</v>
      </c>
      <c r="K38" s="50">
        <v>5.5597494940297993</v>
      </c>
      <c r="L38" s="50">
        <v>7.592184839414128</v>
      </c>
      <c r="M38" s="50">
        <v>21.550489591071695</v>
      </c>
      <c r="N38" s="50">
        <v>8.397311328995805</v>
      </c>
      <c r="O38" s="50">
        <v>6.3326844220299856</v>
      </c>
      <c r="P38" s="50">
        <v>8.1699176949718968</v>
      </c>
      <c r="Q38" s="50">
        <v>24.815630224536779</v>
      </c>
    </row>
    <row r="39" spans="1:17" x14ac:dyDescent="0.25">
      <c r="A39" s="47" t="s">
        <v>87</v>
      </c>
      <c r="B39" s="50">
        <v>3.0839117380130165</v>
      </c>
      <c r="C39" s="50">
        <v>3.0681615978792696</v>
      </c>
      <c r="D39" s="50">
        <v>2.4455446437925175</v>
      </c>
      <c r="E39" s="50">
        <v>1.8889421440707033</v>
      </c>
      <c r="F39" s="50">
        <v>3.1430329723840753</v>
      </c>
      <c r="G39" s="50">
        <v>4.336296742862821</v>
      </c>
      <c r="H39" s="50">
        <v>3.4661875879420188</v>
      </c>
      <c r="I39" s="50">
        <v>3.6929101085246532</v>
      </c>
      <c r="J39" s="50">
        <v>2.7768835968768566</v>
      </c>
      <c r="K39" s="50">
        <v>3.7213050814748105</v>
      </c>
      <c r="L39" s="50">
        <v>3.5968476074516809</v>
      </c>
      <c r="M39" s="50">
        <v>2.7626502736570306</v>
      </c>
      <c r="N39" s="50">
        <v>3.9589204050584179</v>
      </c>
      <c r="O39" s="50">
        <v>3.0161973637510266</v>
      </c>
      <c r="P39" s="50">
        <v>4.7178134280435344</v>
      </c>
      <c r="Q39" s="50">
        <v>3.0491249970374605</v>
      </c>
    </row>
    <row r="40" spans="1:17" x14ac:dyDescent="0.25">
      <c r="A40" s="47" t="s">
        <v>88</v>
      </c>
      <c r="B40" s="50">
        <v>7.7463616670425645E-2</v>
      </c>
      <c r="C40" s="50">
        <v>3.6810486200629775</v>
      </c>
      <c r="D40" s="50">
        <v>1.9230153425546368</v>
      </c>
      <c r="E40" s="50">
        <v>15.050119354358941</v>
      </c>
      <c r="F40" s="50">
        <v>0.50114920067251323</v>
      </c>
      <c r="G40" s="50">
        <v>7.895531664740478E-2</v>
      </c>
      <c r="H40" s="50">
        <v>0.36335916674221758</v>
      </c>
      <c r="I40" s="50">
        <v>14.994697493209539</v>
      </c>
      <c r="J40" s="50">
        <v>3.0767102753019158E-2</v>
      </c>
      <c r="K40" s="50">
        <v>0.2434443878131696</v>
      </c>
      <c r="L40" s="50">
        <v>0.38659416609269881</v>
      </c>
      <c r="M40" s="50">
        <v>16.376337979611314</v>
      </c>
      <c r="N40" s="50">
        <v>1.4705136731598256</v>
      </c>
      <c r="O40" s="50">
        <v>0.80239107161212786</v>
      </c>
      <c r="P40" s="50">
        <v>0.10737948318264491</v>
      </c>
      <c r="Q40" s="50">
        <v>16.303804175363364</v>
      </c>
    </row>
    <row r="41" spans="1:17" x14ac:dyDescent="0.25">
      <c r="A41" s="47" t="s">
        <v>67</v>
      </c>
      <c r="B41" s="50">
        <v>1.2658653600720644</v>
      </c>
      <c r="C41" s="50">
        <v>2.0759617746966512</v>
      </c>
      <c r="D41" s="50">
        <v>2.0830231490086479</v>
      </c>
      <c r="E41" s="50">
        <v>2.3908951091209225</v>
      </c>
      <c r="F41" s="50">
        <v>2.834113802885768</v>
      </c>
      <c r="G41" s="50">
        <v>4.0988192385897504</v>
      </c>
      <c r="H41" s="50">
        <v>3.3937530041840214</v>
      </c>
      <c r="I41" s="50">
        <v>3.9964274064966183</v>
      </c>
      <c r="J41" s="50">
        <v>3.0956376749488328</v>
      </c>
      <c r="K41" s="50">
        <v>1.5950000247418192</v>
      </c>
      <c r="L41" s="50">
        <v>3.6087430658697484</v>
      </c>
      <c r="M41" s="50">
        <v>2.411501337803351</v>
      </c>
      <c r="N41" s="50">
        <v>2.9678772507775615</v>
      </c>
      <c r="O41" s="50">
        <v>2.5140959866668311</v>
      </c>
      <c r="P41" s="50">
        <v>3.3447247837457175</v>
      </c>
      <c r="Q41" s="50">
        <v>5.4627010521359551</v>
      </c>
    </row>
    <row r="42" spans="1:17" x14ac:dyDescent="0.25">
      <c r="A42" s="47"/>
      <c r="B42" s="184"/>
      <c r="C42" s="184"/>
      <c r="D42" s="184"/>
      <c r="E42" s="184"/>
      <c r="F42" s="184"/>
      <c r="G42" s="184"/>
      <c r="H42" s="184"/>
      <c r="I42" s="184"/>
      <c r="J42" s="184"/>
      <c r="K42" s="184"/>
      <c r="L42" s="184"/>
      <c r="M42" s="184"/>
      <c r="N42" s="184"/>
      <c r="O42" s="184"/>
      <c r="P42" s="184"/>
      <c r="Q42" s="184"/>
    </row>
    <row r="43" spans="1:17" x14ac:dyDescent="0.25">
      <c r="A43" s="47" t="s">
        <v>89</v>
      </c>
      <c r="B43" s="50">
        <v>73.508492055793567</v>
      </c>
      <c r="C43" s="50">
        <v>81.111435968009758</v>
      </c>
      <c r="D43" s="50">
        <v>104.38489251423573</v>
      </c>
      <c r="E43" s="50">
        <v>65.143433057058019</v>
      </c>
      <c r="F43" s="50">
        <v>69.698632247272386</v>
      </c>
      <c r="G43" s="50">
        <v>71.453453585466775</v>
      </c>
      <c r="H43" s="50">
        <v>115.13716942704309</v>
      </c>
      <c r="I43" s="50">
        <v>74.221499849387044</v>
      </c>
      <c r="J43" s="50">
        <v>65.216862283686666</v>
      </c>
      <c r="K43" s="50">
        <v>72.948637087585169</v>
      </c>
      <c r="L43" s="50">
        <v>88.123709079574937</v>
      </c>
      <c r="M43" s="50">
        <v>90.056758704321908</v>
      </c>
      <c r="N43" s="50">
        <v>79.101884590268796</v>
      </c>
      <c r="O43" s="50">
        <v>72.603520826938052</v>
      </c>
      <c r="P43" s="50">
        <v>157.20853194152821</v>
      </c>
      <c r="Q43" s="50">
        <v>140.35040945748707</v>
      </c>
    </row>
    <row r="44" spans="1:17" x14ac:dyDescent="0.25">
      <c r="A44" s="47" t="s">
        <v>90</v>
      </c>
      <c r="B44" s="50">
        <v>73.072987027763276</v>
      </c>
      <c r="C44" s="50">
        <v>80.897189146713245</v>
      </c>
      <c r="D44" s="50">
        <v>95.76411535639329</v>
      </c>
      <c r="E44" s="50">
        <v>64.97560645132971</v>
      </c>
      <c r="F44" s="50">
        <v>62.016180122423265</v>
      </c>
      <c r="G44" s="50">
        <v>60.362334344276157</v>
      </c>
      <c r="H44" s="50">
        <v>114.51709892730828</v>
      </c>
      <c r="I44" s="50">
        <v>73.670541124842771</v>
      </c>
      <c r="J44" s="50">
        <v>64.763392625799654</v>
      </c>
      <c r="K44" s="50">
        <v>68.033250414188728</v>
      </c>
      <c r="L44" s="50">
        <v>67.13382597969148</v>
      </c>
      <c r="M44" s="50">
        <v>81.607824661762521</v>
      </c>
      <c r="N44" s="50">
        <v>72.818544101639702</v>
      </c>
      <c r="O44" s="50">
        <v>72.144633407013671</v>
      </c>
      <c r="P44" s="50">
        <v>156.75320575912281</v>
      </c>
      <c r="Q44" s="50">
        <v>139.6222978669274</v>
      </c>
    </row>
    <row r="45" spans="1:17" x14ac:dyDescent="0.25">
      <c r="A45" s="47" t="s">
        <v>91</v>
      </c>
      <c r="B45" s="50">
        <v>0.4355050280302919</v>
      </c>
      <c r="C45" s="50">
        <v>0.21424682129651273</v>
      </c>
      <c r="D45" s="50">
        <v>8.6207771578424399</v>
      </c>
      <c r="E45" s="50">
        <v>0.16782660572830821</v>
      </c>
      <c r="F45" s="50">
        <v>7.6824521248491209</v>
      </c>
      <c r="G45" s="50">
        <v>11.091119241190619</v>
      </c>
      <c r="H45" s="50">
        <v>0.62007049973480832</v>
      </c>
      <c r="I45" s="50">
        <v>0.55095872454427308</v>
      </c>
      <c r="J45" s="50">
        <v>0.45346965788701254</v>
      </c>
      <c r="K45" s="50">
        <v>4.9153866733964406</v>
      </c>
      <c r="L45" s="50">
        <v>20.989883099883457</v>
      </c>
      <c r="M45" s="50">
        <v>8.4489340425593866</v>
      </c>
      <c r="N45" s="50">
        <v>6.2833404886290936</v>
      </c>
      <c r="O45" s="50">
        <v>0.45888741992438042</v>
      </c>
      <c r="P45" s="50">
        <v>0.45532618240540046</v>
      </c>
      <c r="Q45" s="50">
        <v>0.72811159055967778</v>
      </c>
    </row>
    <row r="46" spans="1:17" x14ac:dyDescent="0.25">
      <c r="A46" s="47"/>
      <c r="B46" s="46"/>
      <c r="C46" s="46"/>
      <c r="D46" s="46"/>
      <c r="E46" s="46"/>
      <c r="F46" s="46"/>
      <c r="G46" s="46"/>
      <c r="H46" s="46"/>
      <c r="I46" s="46"/>
      <c r="J46" s="46"/>
      <c r="K46" s="46"/>
      <c r="L46" s="46"/>
      <c r="M46" s="46"/>
      <c r="N46" s="46"/>
      <c r="O46" s="46"/>
      <c r="P46" s="46"/>
      <c r="Q46" s="46"/>
    </row>
    <row r="47" spans="1:17" x14ac:dyDescent="0.25">
      <c r="A47" s="47" t="s">
        <v>92</v>
      </c>
      <c r="B47" s="50">
        <v>21.908918737144624</v>
      </c>
      <c r="C47" s="50">
        <v>19.485358331474639</v>
      </c>
      <c r="D47" s="50">
        <v>24.614113055027051</v>
      </c>
      <c r="E47" s="50">
        <v>37.76481158083309</v>
      </c>
      <c r="F47" s="50">
        <v>24.203919403288154</v>
      </c>
      <c r="G47" s="50">
        <v>21.742855628549918</v>
      </c>
      <c r="H47" s="50">
        <v>26.960966861571251</v>
      </c>
      <c r="I47" s="50">
        <v>29.25281094076038</v>
      </c>
      <c r="J47" s="50">
        <v>24.698108409953161</v>
      </c>
      <c r="K47" s="50">
        <v>26.377830294213219</v>
      </c>
      <c r="L47" s="50">
        <v>26.847731738845166</v>
      </c>
      <c r="M47" s="50">
        <v>25.692123434957661</v>
      </c>
      <c r="N47" s="50">
        <v>27.397011087532832</v>
      </c>
      <c r="O47" s="50">
        <v>27.653230824033063</v>
      </c>
      <c r="P47" s="50">
        <v>34.546357438246382</v>
      </c>
      <c r="Q47" s="50">
        <v>26.524831046779681</v>
      </c>
    </row>
    <row r="48" spans="1:17" x14ac:dyDescent="0.25">
      <c r="A48" s="47"/>
      <c r="B48" s="46"/>
      <c r="C48" s="46"/>
      <c r="D48" s="46"/>
      <c r="E48" s="46"/>
      <c r="F48" s="46"/>
      <c r="G48" s="46"/>
      <c r="H48" s="46"/>
      <c r="I48" s="46"/>
      <c r="J48" s="46"/>
      <c r="K48" s="46"/>
      <c r="L48" s="46"/>
      <c r="M48" s="46"/>
      <c r="N48" s="46"/>
      <c r="O48" s="46"/>
      <c r="P48" s="46"/>
      <c r="Q48" s="46"/>
    </row>
    <row r="49" spans="1:17" x14ac:dyDescent="0.25">
      <c r="A49" s="47" t="s">
        <v>93</v>
      </c>
      <c r="B49" s="50">
        <v>9.6718083824814407</v>
      </c>
      <c r="C49" s="50">
        <v>9.6443790199168884</v>
      </c>
      <c r="D49" s="50">
        <v>11.887351412089528</v>
      </c>
      <c r="E49" s="50">
        <v>10.469605619111169</v>
      </c>
      <c r="F49" s="50">
        <v>9.4663751986378735</v>
      </c>
      <c r="G49" s="50">
        <v>9.1494306095269984</v>
      </c>
      <c r="H49" s="50">
        <v>10.485250422005455</v>
      </c>
      <c r="I49" s="50">
        <v>10.024167026270602</v>
      </c>
      <c r="J49" s="50">
        <v>10.151687099907178</v>
      </c>
      <c r="K49" s="50">
        <v>8.826867428384805</v>
      </c>
      <c r="L49" s="50">
        <v>8.4347853381949225</v>
      </c>
      <c r="M49" s="50">
        <v>9.4829888011322083</v>
      </c>
      <c r="N49" s="50">
        <v>9.1468714672274647</v>
      </c>
      <c r="O49" s="50">
        <v>12.425520429345644</v>
      </c>
      <c r="P49" s="50">
        <v>13.388501668254182</v>
      </c>
      <c r="Q49" s="50">
        <v>9.6904640331930807</v>
      </c>
    </row>
    <row r="50" spans="1:17" x14ac:dyDescent="0.25">
      <c r="A50" s="47"/>
      <c r="B50" s="46"/>
      <c r="C50" s="46"/>
      <c r="D50" s="46"/>
      <c r="E50" s="46"/>
      <c r="F50" s="46"/>
      <c r="G50" s="46"/>
      <c r="H50" s="46"/>
      <c r="I50" s="46"/>
      <c r="J50" s="46"/>
      <c r="K50" s="46"/>
      <c r="L50" s="46"/>
      <c r="M50" s="46"/>
      <c r="N50" s="46"/>
      <c r="O50" s="46"/>
      <c r="P50" s="46"/>
      <c r="Q50" s="46"/>
    </row>
    <row r="51" spans="1:17" x14ac:dyDescent="0.25">
      <c r="A51" s="47" t="s">
        <v>94</v>
      </c>
      <c r="B51" s="50">
        <v>4.1611793823747485</v>
      </c>
      <c r="C51" s="50">
        <v>4.7985996892218887</v>
      </c>
      <c r="D51" s="50">
        <v>4.8988389809029131</v>
      </c>
      <c r="E51" s="50">
        <v>4.1562155948858948</v>
      </c>
      <c r="F51" s="50">
        <v>5.8286421585883366</v>
      </c>
      <c r="G51" s="50">
        <v>6.3254895609023496</v>
      </c>
      <c r="H51" s="50">
        <v>11.185340581565526</v>
      </c>
      <c r="I51" s="50">
        <v>6.9264971469947003</v>
      </c>
      <c r="J51" s="50">
        <v>5.0985835824822008</v>
      </c>
      <c r="K51" s="50">
        <v>6.1512693806792784</v>
      </c>
      <c r="L51" s="50">
        <v>4.1955682836783126</v>
      </c>
      <c r="M51" s="50">
        <v>5.5686053210065038</v>
      </c>
      <c r="N51" s="50">
        <v>3.534700215498519</v>
      </c>
      <c r="O51" s="50">
        <v>4.6400055210079527</v>
      </c>
      <c r="P51" s="50">
        <v>5.6904600803621781</v>
      </c>
      <c r="Q51" s="50">
        <v>4.4328431845006264</v>
      </c>
    </row>
    <row r="52" spans="1:17" x14ac:dyDescent="0.25">
      <c r="A52" s="47" t="s">
        <v>95</v>
      </c>
      <c r="B52" s="50">
        <v>1.7885260497346882</v>
      </c>
      <c r="C52" s="50">
        <v>1.8176269207158677</v>
      </c>
      <c r="D52" s="50">
        <v>1.9223988591087124</v>
      </c>
      <c r="E52" s="50">
        <v>1.6271250777138202</v>
      </c>
      <c r="F52" s="50">
        <v>2.2164493968555932</v>
      </c>
      <c r="G52" s="50">
        <v>2.3135103203919689</v>
      </c>
      <c r="H52" s="50">
        <v>1.7394073957473009</v>
      </c>
      <c r="I52" s="50">
        <v>1.5646978646989227</v>
      </c>
      <c r="J52" s="50">
        <v>1.2078939064281236</v>
      </c>
      <c r="K52" s="50">
        <v>1.6528991770870962</v>
      </c>
      <c r="L52" s="50">
        <v>1.1805902685516751</v>
      </c>
      <c r="M52" s="50">
        <v>1.1583692705939732</v>
      </c>
      <c r="N52" s="50">
        <v>1.2414713869443355</v>
      </c>
      <c r="O52" s="50">
        <v>1.8156773481577351</v>
      </c>
      <c r="P52" s="50">
        <v>2.1813554072306722</v>
      </c>
      <c r="Q52" s="50">
        <v>1.7865314621671884</v>
      </c>
    </row>
    <row r="53" spans="1:17" x14ac:dyDescent="0.25">
      <c r="A53" s="47" t="s">
        <v>96</v>
      </c>
      <c r="B53" s="50">
        <v>1.7763747503204139</v>
      </c>
      <c r="C53" s="50">
        <v>2.2604221750828999</v>
      </c>
      <c r="D53" s="50">
        <v>1.8019140073468534</v>
      </c>
      <c r="E53" s="50">
        <v>1.4793564960714323</v>
      </c>
      <c r="F53" s="50">
        <v>1.9333919867527993</v>
      </c>
      <c r="G53" s="50">
        <v>2.9841226749858452</v>
      </c>
      <c r="H53" s="50">
        <v>7.6880788166379253</v>
      </c>
      <c r="I53" s="50">
        <v>2.6476563597158238</v>
      </c>
      <c r="J53" s="50">
        <v>2.6038194877157337</v>
      </c>
      <c r="K53" s="50">
        <v>2.5961727209898049</v>
      </c>
      <c r="L53" s="50">
        <v>1.7726117474628444</v>
      </c>
      <c r="M53" s="50">
        <v>3.1334562609617245</v>
      </c>
      <c r="N53" s="50">
        <v>1.5317315578899164</v>
      </c>
      <c r="O53" s="50">
        <v>2.034193480297307</v>
      </c>
      <c r="P53" s="50">
        <v>1.6031947540483258</v>
      </c>
      <c r="Q53" s="50">
        <v>1.4906767703739752</v>
      </c>
    </row>
    <row r="54" spans="1:17" x14ac:dyDescent="0.25">
      <c r="A54" s="47" t="s">
        <v>97</v>
      </c>
      <c r="B54" s="50">
        <v>0.59627858231964614</v>
      </c>
      <c r="C54" s="50">
        <v>0.72055059342312111</v>
      </c>
      <c r="D54" s="50">
        <v>1.1745261144473473</v>
      </c>
      <c r="E54" s="50">
        <v>1.0497340211006423</v>
      </c>
      <c r="F54" s="50">
        <v>1.6788007749799441</v>
      </c>
      <c r="G54" s="50">
        <v>1.0278565655245355</v>
      </c>
      <c r="H54" s="50">
        <v>1.7578543691802997</v>
      </c>
      <c r="I54" s="50">
        <v>2.7141429225799536</v>
      </c>
      <c r="J54" s="50">
        <v>1.2868701883383435</v>
      </c>
      <c r="K54" s="50">
        <v>1.9021974826023778</v>
      </c>
      <c r="L54" s="50">
        <v>1.242366267663793</v>
      </c>
      <c r="M54" s="50">
        <v>1.2767797894508059</v>
      </c>
      <c r="N54" s="50">
        <v>0.76149727066426709</v>
      </c>
      <c r="O54" s="50">
        <v>0.79013469255291069</v>
      </c>
      <c r="P54" s="50">
        <v>1.9059099190831801</v>
      </c>
      <c r="Q54" s="50">
        <v>1.1556349519594631</v>
      </c>
    </row>
    <row r="55" spans="1:17" x14ac:dyDescent="0.25">
      <c r="A55" s="47"/>
      <c r="B55" s="184"/>
      <c r="C55" s="184"/>
      <c r="D55" s="184"/>
      <c r="E55" s="184"/>
      <c r="F55" s="184"/>
      <c r="G55" s="184"/>
      <c r="H55" s="184"/>
      <c r="I55" s="184"/>
      <c r="J55" s="184"/>
      <c r="K55" s="184"/>
      <c r="L55" s="184"/>
      <c r="M55" s="184"/>
      <c r="N55" s="184"/>
      <c r="O55" s="184"/>
      <c r="P55" s="184"/>
      <c r="Q55" s="184"/>
    </row>
    <row r="56" spans="1:17" x14ac:dyDescent="0.25">
      <c r="A56" s="47" t="s">
        <v>98</v>
      </c>
      <c r="B56" s="50">
        <v>4.1035671396679581</v>
      </c>
      <c r="C56" s="50">
        <v>3.8636595167036498</v>
      </c>
      <c r="D56" s="50">
        <v>4.4318823928978164</v>
      </c>
      <c r="E56" s="50">
        <v>3.9263142411915406</v>
      </c>
      <c r="F56" s="50">
        <v>4.429640237503766</v>
      </c>
      <c r="G56" s="50">
        <v>4.619653276043393</v>
      </c>
      <c r="H56" s="50">
        <v>5.4815265821094927</v>
      </c>
      <c r="I56" s="50">
        <v>5.0695457414546663</v>
      </c>
      <c r="J56" s="50">
        <v>5.0264567308249131</v>
      </c>
      <c r="K56" s="50">
        <v>4.7926313947293329</v>
      </c>
      <c r="L56" s="50">
        <v>5.5129035342275259</v>
      </c>
      <c r="M56" s="50">
        <v>4.6720616369486638</v>
      </c>
      <c r="N56" s="50">
        <v>5.3740218004541198</v>
      </c>
      <c r="O56" s="50">
        <v>4.7817671459944568</v>
      </c>
      <c r="P56" s="50">
        <v>6.0457581747981566</v>
      </c>
      <c r="Q56" s="50">
        <v>5.2373455616421474</v>
      </c>
    </row>
    <row r="57" spans="1:17" x14ac:dyDescent="0.25">
      <c r="A57" s="47"/>
      <c r="B57" s="48"/>
      <c r="C57" s="48"/>
      <c r="D57" s="48"/>
      <c r="E57" s="48"/>
      <c r="F57" s="48"/>
      <c r="G57" s="48"/>
      <c r="H57" s="48"/>
      <c r="I57" s="48"/>
      <c r="J57" s="48"/>
      <c r="K57" s="48"/>
      <c r="L57" s="48"/>
      <c r="M57" s="48"/>
      <c r="N57" s="48"/>
      <c r="O57" s="48"/>
      <c r="P57" s="48"/>
      <c r="Q57" s="48"/>
    </row>
    <row r="58" spans="1:17" x14ac:dyDescent="0.25">
      <c r="A58" s="47" t="s">
        <v>99</v>
      </c>
      <c r="B58" s="50">
        <v>13.842357228519452</v>
      </c>
      <c r="C58" s="50">
        <v>13.397687044690189</v>
      </c>
      <c r="D58" s="50">
        <v>19.360749020813831</v>
      </c>
      <c r="E58" s="50">
        <v>17.361994444801748</v>
      </c>
      <c r="F58" s="50">
        <v>15.198447665474784</v>
      </c>
      <c r="G58" s="50">
        <v>18.348112239556066</v>
      </c>
      <c r="H58" s="50">
        <v>17.754060846494955</v>
      </c>
      <c r="I58" s="50">
        <v>26.051333620353109</v>
      </c>
      <c r="J58" s="50">
        <v>19.329143458456528</v>
      </c>
      <c r="K58" s="50">
        <v>12.863462449341124</v>
      </c>
      <c r="L58" s="50">
        <v>17.346464355779556</v>
      </c>
      <c r="M58" s="50">
        <v>15.682694600824254</v>
      </c>
      <c r="N58" s="50">
        <v>16.757937850653359</v>
      </c>
      <c r="O58" s="50">
        <v>17.274887300970573</v>
      </c>
      <c r="P58" s="50">
        <v>19.187453016531219</v>
      </c>
      <c r="Q58" s="50">
        <v>25.372203165413975</v>
      </c>
    </row>
    <row r="59" spans="1:17" x14ac:dyDescent="0.25">
      <c r="A59" s="47"/>
      <c r="B59" s="46"/>
      <c r="C59" s="46"/>
      <c r="D59" s="46"/>
      <c r="E59" s="46"/>
      <c r="F59" s="46"/>
      <c r="G59" s="46"/>
      <c r="H59" s="46"/>
      <c r="I59" s="46"/>
      <c r="J59" s="46"/>
      <c r="K59" s="46"/>
      <c r="L59" s="46"/>
      <c r="M59" s="46"/>
      <c r="N59" s="46"/>
      <c r="O59" s="46"/>
      <c r="P59" s="46"/>
      <c r="Q59" s="46"/>
    </row>
    <row r="60" spans="1:17" x14ac:dyDescent="0.25">
      <c r="A60" s="47" t="s">
        <v>100</v>
      </c>
      <c r="B60" s="50">
        <v>1.6230547444861159</v>
      </c>
      <c r="C60" s="50">
        <v>3.0135537059211588</v>
      </c>
      <c r="D60" s="50">
        <v>2.8787542386341749</v>
      </c>
      <c r="E60" s="50">
        <v>2.1002063234931558</v>
      </c>
      <c r="F60" s="50">
        <v>2.1824262209340772</v>
      </c>
      <c r="G60" s="50">
        <v>2.4943218271071759</v>
      </c>
      <c r="H60" s="50">
        <v>2.61759150868237</v>
      </c>
      <c r="I60" s="50">
        <v>3.2144043549169772</v>
      </c>
      <c r="J60" s="50">
        <v>2.3510136683041276</v>
      </c>
      <c r="K60" s="50">
        <v>2.3935306641858869</v>
      </c>
      <c r="L60" s="50">
        <v>2.4775190747746838</v>
      </c>
      <c r="M60" s="50">
        <v>2.0491719978822829</v>
      </c>
      <c r="N60" s="50">
        <v>2.1657785122173419</v>
      </c>
      <c r="O60" s="50">
        <v>2.5170151808324053</v>
      </c>
      <c r="P60" s="50">
        <v>1.9068473923329237</v>
      </c>
      <c r="Q60" s="50">
        <v>2.1232786603950369</v>
      </c>
    </row>
    <row r="61" spans="1:17" x14ac:dyDescent="0.25">
      <c r="A61" s="47" t="s">
        <v>101</v>
      </c>
      <c r="B61" s="50">
        <v>0.28913683791861428</v>
      </c>
      <c r="C61" s="50">
        <v>0.62479176451482699</v>
      </c>
      <c r="D61" s="50">
        <v>0.36459714642001428</v>
      </c>
      <c r="E61" s="50">
        <v>0.48199615316590022</v>
      </c>
      <c r="F61" s="50">
        <v>0.28591180044233044</v>
      </c>
      <c r="G61" s="50">
        <v>0.57922516200324492</v>
      </c>
      <c r="H61" s="50">
        <v>0.5143260714853829</v>
      </c>
      <c r="I61" s="50">
        <v>0.45807208950506006</v>
      </c>
      <c r="J61" s="50">
        <v>0.29228366736102956</v>
      </c>
      <c r="K61" s="50">
        <v>0.54440275722832243</v>
      </c>
      <c r="L61" s="50">
        <v>0.54237296268610435</v>
      </c>
      <c r="M61" s="50">
        <v>0.45972422137193003</v>
      </c>
      <c r="N61" s="50">
        <v>0.6296106300546318</v>
      </c>
      <c r="O61" s="50">
        <v>0.56413479211206985</v>
      </c>
      <c r="P61" s="50">
        <v>0.34291296384343195</v>
      </c>
      <c r="Q61" s="50">
        <v>0.2552288928951198</v>
      </c>
    </row>
    <row r="62" spans="1:17" x14ac:dyDescent="0.25">
      <c r="A62" s="47" t="s">
        <v>102</v>
      </c>
      <c r="B62" s="50">
        <v>1.152013882792738</v>
      </c>
      <c r="C62" s="50">
        <v>1.8859963362953389</v>
      </c>
      <c r="D62" s="50">
        <v>2.3136405786914218</v>
      </c>
      <c r="E62" s="50">
        <v>1.479676489425561</v>
      </c>
      <c r="F62" s="50">
        <v>1.3615476787674066</v>
      </c>
      <c r="G62" s="50">
        <v>1.2828418340161134</v>
      </c>
      <c r="H62" s="50">
        <v>1.7863931460270053</v>
      </c>
      <c r="I62" s="50">
        <v>2.3503925515051787</v>
      </c>
      <c r="J62" s="50">
        <v>1.5140289316022244</v>
      </c>
      <c r="K62" s="50">
        <v>1.4598299709201152</v>
      </c>
      <c r="L62" s="50">
        <v>1.5614086575027664</v>
      </c>
      <c r="M62" s="50">
        <v>1.4283798041985001</v>
      </c>
      <c r="N62" s="50">
        <v>1.2838589187096181</v>
      </c>
      <c r="O62" s="50">
        <v>1.7892110389127622</v>
      </c>
      <c r="P62" s="50">
        <v>1.3996587573005157</v>
      </c>
      <c r="Q62" s="50">
        <v>1.6944283341997115</v>
      </c>
    </row>
    <row r="63" spans="1:17" x14ac:dyDescent="0.25">
      <c r="A63" s="47" t="s">
        <v>97</v>
      </c>
      <c r="B63" s="50">
        <v>0.18190402377476356</v>
      </c>
      <c r="C63" s="50">
        <v>0.50276560511099277</v>
      </c>
      <c r="D63" s="50">
        <v>0.20051651352273892</v>
      </c>
      <c r="E63" s="50">
        <v>0.1385336809016946</v>
      </c>
      <c r="F63" s="50">
        <v>0.53496674172434022</v>
      </c>
      <c r="G63" s="50">
        <v>0.63225483108781755</v>
      </c>
      <c r="H63" s="50">
        <v>0.31687229116998172</v>
      </c>
      <c r="I63" s="50">
        <v>0.40593971390673822</v>
      </c>
      <c r="J63" s="50">
        <v>0.54470106934087381</v>
      </c>
      <c r="K63" s="50">
        <v>0.38929793603744911</v>
      </c>
      <c r="L63" s="50">
        <v>0.37373745458581298</v>
      </c>
      <c r="M63" s="50">
        <v>0.16106797231185266</v>
      </c>
      <c r="N63" s="50">
        <v>0.25230896345309195</v>
      </c>
      <c r="O63" s="50">
        <v>0.16366934980757319</v>
      </c>
      <c r="P63" s="50">
        <v>0.1642756711889759</v>
      </c>
      <c r="Q63" s="50">
        <v>0.17362143330020552</v>
      </c>
    </row>
    <row r="64" spans="1:17" x14ac:dyDescent="0.25">
      <c r="A64" s="47"/>
      <c r="B64" s="184"/>
      <c r="C64" s="184"/>
      <c r="D64" s="184"/>
      <c r="E64" s="184"/>
      <c r="F64" s="184"/>
      <c r="G64" s="184"/>
      <c r="H64" s="184"/>
      <c r="I64" s="184"/>
      <c r="J64" s="184"/>
      <c r="K64" s="184"/>
      <c r="L64" s="184"/>
      <c r="M64" s="184"/>
      <c r="N64" s="184"/>
      <c r="O64" s="184"/>
      <c r="P64" s="184"/>
      <c r="Q64" s="184"/>
    </row>
    <row r="65" spans="1:17" x14ac:dyDescent="0.25">
      <c r="A65" s="47" t="s">
        <v>103</v>
      </c>
      <c r="B65" s="50">
        <v>24.21968318209613</v>
      </c>
      <c r="C65" s="50">
        <v>34.313395533878733</v>
      </c>
      <c r="D65" s="50">
        <v>43.349523029039304</v>
      </c>
      <c r="E65" s="50">
        <v>26.000382680269311</v>
      </c>
      <c r="F65" s="50">
        <v>31.150402606155524</v>
      </c>
      <c r="G65" s="50">
        <v>31.758021693130157</v>
      </c>
      <c r="H65" s="50">
        <v>37.14802668489196</v>
      </c>
      <c r="I65" s="50">
        <v>37.679672847210711</v>
      </c>
      <c r="J65" s="50">
        <v>32.386067618478769</v>
      </c>
      <c r="K65" s="50">
        <v>35.994473944390393</v>
      </c>
      <c r="L65" s="50">
        <v>29.178228179156402</v>
      </c>
      <c r="M65" s="50">
        <v>40.171139081419255</v>
      </c>
      <c r="N65" s="50">
        <v>25.541956428156517</v>
      </c>
      <c r="O65" s="50">
        <v>32.42372441119484</v>
      </c>
      <c r="P65" s="50">
        <v>39.138770554215839</v>
      </c>
      <c r="Q65" s="50">
        <v>27.568631047727688</v>
      </c>
    </row>
    <row r="66" spans="1:17" x14ac:dyDescent="0.25">
      <c r="A66" s="47"/>
      <c r="B66" s="46"/>
      <c r="C66" s="46"/>
      <c r="D66" s="46"/>
      <c r="E66" s="46"/>
      <c r="F66" s="46"/>
      <c r="G66" s="46"/>
      <c r="H66" s="46"/>
      <c r="I66" s="46"/>
      <c r="J66" s="46"/>
      <c r="K66" s="46"/>
      <c r="L66" s="46"/>
      <c r="M66" s="46"/>
      <c r="N66" s="46"/>
      <c r="O66" s="46"/>
      <c r="P66" s="46"/>
      <c r="Q66" s="46"/>
    </row>
    <row r="67" spans="1:17" x14ac:dyDescent="0.25">
      <c r="A67" s="49" t="s">
        <v>104</v>
      </c>
      <c r="B67" s="185">
        <v>828.31859200258248</v>
      </c>
      <c r="C67" s="185">
        <v>821.42016921078948</v>
      </c>
      <c r="D67" s="185">
        <v>977.11745198873632</v>
      </c>
      <c r="E67" s="185">
        <v>746.04558245651776</v>
      </c>
      <c r="F67" s="185">
        <v>787.84785402315993</v>
      </c>
      <c r="G67" s="185">
        <v>883.78191457547916</v>
      </c>
      <c r="H67" s="185">
        <v>984.56286779703782</v>
      </c>
      <c r="I67" s="185">
        <v>986.269431460845</v>
      </c>
      <c r="J67" s="185">
        <v>838.80824970295657</v>
      </c>
      <c r="K67" s="185">
        <v>881.56211794774288</v>
      </c>
      <c r="L67" s="185">
        <v>817.10590953464725</v>
      </c>
      <c r="M67" s="185">
        <v>907.98261172813272</v>
      </c>
      <c r="N67" s="185">
        <v>877.20988874099703</v>
      </c>
      <c r="O67" s="185">
        <v>821.15634805084085</v>
      </c>
      <c r="P67" s="185">
        <v>1006.6405069097647</v>
      </c>
      <c r="Q67" s="185">
        <v>846.99651910234581</v>
      </c>
    </row>
    <row r="68" spans="1:17" x14ac:dyDescent="0.25">
      <c r="A68" s="47"/>
      <c r="B68" s="50"/>
      <c r="C68" s="50"/>
      <c r="D68" s="50"/>
      <c r="E68" s="50"/>
      <c r="F68" s="50"/>
      <c r="G68" s="50"/>
      <c r="H68" s="50"/>
      <c r="I68" s="50"/>
      <c r="J68" s="50"/>
      <c r="K68" s="50"/>
      <c r="L68" s="50"/>
      <c r="M68" s="50"/>
      <c r="N68" s="50"/>
      <c r="O68" s="50"/>
      <c r="P68" s="50"/>
      <c r="Q68" s="50"/>
    </row>
    <row r="69" spans="1:17" x14ac:dyDescent="0.25">
      <c r="A69" s="47" t="s">
        <v>106</v>
      </c>
      <c r="B69" s="50">
        <v>0.37554174899284082</v>
      </c>
      <c r="C69" s="50">
        <v>0.51027661071268049</v>
      </c>
      <c r="D69" s="50">
        <v>0.35862110310940187</v>
      </c>
      <c r="E69" s="50">
        <v>0.36923148401239131</v>
      </c>
      <c r="F69" s="50">
        <v>0.44467400343737873</v>
      </c>
      <c r="G69" s="50">
        <v>0.68346654933921613</v>
      </c>
      <c r="H69" s="50">
        <v>0.21626585862128173</v>
      </c>
      <c r="I69" s="50">
        <v>0.40302735654456495</v>
      </c>
      <c r="J69" s="50">
        <v>0.26544851594414876</v>
      </c>
      <c r="K69" s="50">
        <v>0.2913305688474106</v>
      </c>
      <c r="L69" s="50">
        <v>0.39781152745089721</v>
      </c>
      <c r="M69" s="50">
        <v>0.4767865843857505</v>
      </c>
      <c r="N69" s="50">
        <v>0.39192124050674604</v>
      </c>
      <c r="O69" s="50">
        <v>0.551086112854833</v>
      </c>
      <c r="P69" s="50">
        <v>0.37091197254105235</v>
      </c>
      <c r="Q69" s="50">
        <v>0.39579206292275432</v>
      </c>
    </row>
    <row r="70" spans="1:17" x14ac:dyDescent="0.25">
      <c r="A70" s="47" t="s">
        <v>107</v>
      </c>
      <c r="B70" s="50">
        <v>0</v>
      </c>
      <c r="C70" s="50">
        <v>0</v>
      </c>
      <c r="D70" s="50">
        <v>0</v>
      </c>
      <c r="E70" s="50">
        <v>0</v>
      </c>
      <c r="F70" s="50">
        <v>0</v>
      </c>
      <c r="G70" s="50">
        <v>7.9492793298063954E-4</v>
      </c>
      <c r="H70" s="50">
        <v>1.2405449358183088E-3</v>
      </c>
      <c r="I70" s="50">
        <v>0</v>
      </c>
      <c r="J70" s="50">
        <v>0</v>
      </c>
      <c r="K70" s="50">
        <v>0</v>
      </c>
      <c r="L70" s="50">
        <v>5.036772026492834E-6</v>
      </c>
      <c r="M70" s="50">
        <v>0</v>
      </c>
      <c r="N70" s="50">
        <v>0</v>
      </c>
      <c r="O70" s="50">
        <v>0</v>
      </c>
      <c r="P70" s="50">
        <v>9.931426369348623E-4</v>
      </c>
      <c r="Q70" s="50">
        <v>1.2662603906127794E-4</v>
      </c>
    </row>
    <row r="71" spans="1:17" x14ac:dyDescent="0.25">
      <c r="A71" s="47" t="s">
        <v>108</v>
      </c>
      <c r="B71" s="50">
        <v>0.18819325503849693</v>
      </c>
      <c r="C71" s="50">
        <v>0.51480354672486905</v>
      </c>
      <c r="D71" s="50">
        <v>0.87134870179683621</v>
      </c>
      <c r="E71" s="50">
        <v>0.45166009448928618</v>
      </c>
      <c r="F71" s="50">
        <v>0.35191710346403077</v>
      </c>
      <c r="G71" s="50">
        <v>6.1092782494513193E-2</v>
      </c>
      <c r="H71" s="50">
        <v>1.0035702043393089</v>
      </c>
      <c r="I71" s="50">
        <v>0.61090500452586849</v>
      </c>
      <c r="J71" s="50">
        <v>0.76783959059615392</v>
      </c>
      <c r="K71" s="50">
        <v>0.33097993768360495</v>
      </c>
      <c r="L71" s="50">
        <v>0.14417837615514434</v>
      </c>
      <c r="M71" s="50">
        <v>0.29796452727013406</v>
      </c>
      <c r="N71" s="50">
        <v>1.0966252957735745</v>
      </c>
      <c r="O71" s="50">
        <v>1.5833421395780631</v>
      </c>
      <c r="P71" s="50">
        <v>1.0705764493869925</v>
      </c>
      <c r="Q71" s="50">
        <v>0.62608726139708604</v>
      </c>
    </row>
    <row r="72" spans="1:17" x14ac:dyDescent="0.25">
      <c r="A72" s="47" t="s">
        <v>67</v>
      </c>
      <c r="B72" s="50">
        <v>0.50693628798202195</v>
      </c>
      <c r="C72" s="50">
        <v>0.39021411479787649</v>
      </c>
      <c r="D72" s="50">
        <v>1.1399846709630326</v>
      </c>
      <c r="E72" s="50">
        <v>0.6824960674127194</v>
      </c>
      <c r="F72" s="50">
        <v>1.4073635084775538</v>
      </c>
      <c r="G72" s="50">
        <v>0.80932369772198443</v>
      </c>
      <c r="H72" s="50">
        <v>1.2663789059373669</v>
      </c>
      <c r="I72" s="50">
        <v>0.67570810354337818</v>
      </c>
      <c r="J72" s="50">
        <v>2.7935294304514793</v>
      </c>
      <c r="K72" s="50">
        <v>1.4524056041869757</v>
      </c>
      <c r="L72" s="50">
        <v>1.0104723075466711</v>
      </c>
      <c r="M72" s="50">
        <v>1.6533575128662301</v>
      </c>
      <c r="N72" s="50">
        <v>3.8000737112797798</v>
      </c>
      <c r="O72" s="50">
        <v>1.3009938654748872</v>
      </c>
      <c r="P72" s="50">
        <v>0.76235003105033461</v>
      </c>
      <c r="Q72" s="50">
        <v>1.6126178419125841</v>
      </c>
    </row>
    <row r="73" spans="1:17" x14ac:dyDescent="0.25">
      <c r="A73" s="47"/>
      <c r="B73" s="50"/>
      <c r="C73" s="50"/>
      <c r="D73" s="50"/>
      <c r="E73" s="50"/>
      <c r="F73" s="50"/>
      <c r="G73" s="50"/>
      <c r="H73" s="50"/>
      <c r="I73" s="50"/>
      <c r="J73" s="50"/>
      <c r="K73" s="50"/>
      <c r="L73" s="50"/>
      <c r="M73" s="50"/>
      <c r="N73" s="50"/>
      <c r="O73" s="50"/>
      <c r="P73" s="50"/>
      <c r="Q73" s="50"/>
    </row>
    <row r="74" spans="1:17" x14ac:dyDescent="0.25">
      <c r="A74" s="49" t="s">
        <v>109</v>
      </c>
      <c r="B74" s="186">
        <v>1.0706712920133596</v>
      </c>
      <c r="C74" s="186">
        <v>1.415294272235426</v>
      </c>
      <c r="D74" s="186">
        <v>2.3699544758692705</v>
      </c>
      <c r="E74" s="186">
        <v>1.5033876459143969</v>
      </c>
      <c r="F74" s="186">
        <v>2.2039546153789633</v>
      </c>
      <c r="G74" s="186">
        <v>1.5546779574886944</v>
      </c>
      <c r="H74" s="186">
        <v>2.4874555138337757</v>
      </c>
      <c r="I74" s="186">
        <v>1.6896404646138117</v>
      </c>
      <c r="J74" s="186">
        <v>3.8268175369917818</v>
      </c>
      <c r="K74" s="186">
        <v>2.0747161107179912</v>
      </c>
      <c r="L74" s="186">
        <v>1.5524672479247392</v>
      </c>
      <c r="M74" s="186">
        <v>2.4281086245221148</v>
      </c>
      <c r="N74" s="186">
        <v>5.2886202475601003</v>
      </c>
      <c r="O74" s="186">
        <v>3.4354221179077835</v>
      </c>
      <c r="P74" s="186">
        <v>2.2048315956153144</v>
      </c>
      <c r="Q74" s="186">
        <v>2.6346237922714857</v>
      </c>
    </row>
    <row r="75" spans="1:17" x14ac:dyDescent="0.25">
      <c r="A75" s="52" t="s">
        <v>111</v>
      </c>
      <c r="O75" s="52" t="s">
        <v>304</v>
      </c>
    </row>
    <row r="76" spans="1:17" x14ac:dyDescent="0.25">
      <c r="A76" s="52" t="s">
        <v>112</v>
      </c>
      <c r="O76" s="53" t="s">
        <v>305</v>
      </c>
    </row>
    <row r="77" spans="1:17" x14ac:dyDescent="0.25">
      <c r="O77" s="52" t="s">
        <v>306</v>
      </c>
    </row>
    <row r="78" spans="1:17" x14ac:dyDescent="0.25">
      <c r="O78" s="52" t="s">
        <v>302</v>
      </c>
    </row>
  </sheetData>
  <mergeCells count="1">
    <mergeCell ref="A4:P4"/>
  </mergeCells>
  <hyperlinks>
    <hyperlink ref="Q2" location="Contents!A1" display="Back to Contents" xr:uid="{AFA0C991-F23E-4895-9727-2679F073F61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10AC2-76CE-4426-B381-1EB996E984FB}">
  <sheetPr>
    <pageSetUpPr fitToPage="1"/>
  </sheetPr>
  <dimension ref="A1:U140"/>
  <sheetViews>
    <sheetView zoomScaleNormal="100" workbookViewId="0">
      <pane xSplit="1" ySplit="9" topLeftCell="B10" activePane="bottomRight" state="frozen"/>
      <selection pane="topRight" activeCell="B1" sqref="B1"/>
      <selection pane="bottomLeft" activeCell="A10" sqref="A10"/>
      <selection pane="bottomRight" activeCell="U2" sqref="U2"/>
    </sheetView>
  </sheetViews>
  <sheetFormatPr defaultRowHeight="15" customHeight="1" x14ac:dyDescent="0.2"/>
  <cols>
    <col min="1" max="1" width="21" style="76" customWidth="1"/>
    <col min="2" max="5" width="13" style="19" customWidth="1"/>
    <col min="6" max="9" width="12.85546875" style="19" customWidth="1"/>
    <col min="10" max="21" width="11.7109375" style="19" customWidth="1"/>
    <col min="22" max="16384" width="9.140625" style="19"/>
  </cols>
  <sheetData>
    <row r="1" spans="1:21" s="16" customFormat="1" ht="15" customHeight="1" x14ac:dyDescent="0.25">
      <c r="A1" s="13" t="s">
        <v>29</v>
      </c>
      <c r="H1" s="55" t="s">
        <v>117</v>
      </c>
      <c r="U1" s="13" t="s">
        <v>130</v>
      </c>
    </row>
    <row r="2" spans="1:21" s="16" customFormat="1" ht="15" customHeight="1" x14ac:dyDescent="0.25">
      <c r="A2" s="54" t="s">
        <v>286</v>
      </c>
      <c r="H2" s="55"/>
      <c r="U2" s="56" t="s">
        <v>10</v>
      </c>
    </row>
    <row r="3" spans="1:21" s="16" customFormat="1" ht="15" customHeight="1" x14ac:dyDescent="0.25">
      <c r="A3" s="54"/>
      <c r="H3" s="55"/>
      <c r="I3" s="56"/>
    </row>
    <row r="4" spans="1:21" s="16" customFormat="1" ht="15" customHeight="1" x14ac:dyDescent="0.3">
      <c r="A4" s="231" t="s">
        <v>116</v>
      </c>
      <c r="B4" s="231"/>
      <c r="C4" s="231"/>
      <c r="D4" s="231"/>
      <c r="E4" s="231"/>
      <c r="F4" s="231"/>
      <c r="G4" s="231"/>
      <c r="H4" s="231"/>
      <c r="I4" s="231"/>
      <c r="J4" s="231"/>
      <c r="K4" s="231"/>
      <c r="L4" s="231"/>
      <c r="M4" s="231"/>
      <c r="N4" s="231"/>
      <c r="O4" s="231"/>
      <c r="P4" s="231"/>
      <c r="Q4" s="231"/>
      <c r="R4" s="231"/>
      <c r="S4" s="231"/>
      <c r="T4" s="231"/>
      <c r="U4" s="231"/>
    </row>
    <row r="5" spans="1:21" s="13" customFormat="1" ht="15" customHeight="1" x14ac:dyDescent="0.25">
      <c r="A5" s="239" t="s">
        <v>3</v>
      </c>
      <c r="B5" s="236" t="s">
        <v>149</v>
      </c>
      <c r="C5" s="237"/>
      <c r="D5" s="237"/>
      <c r="E5" s="237"/>
      <c r="F5" s="237"/>
      <c r="G5" s="237"/>
      <c r="H5" s="237"/>
      <c r="I5" s="238"/>
      <c r="J5" s="235" t="s">
        <v>150</v>
      </c>
      <c r="K5" s="235"/>
      <c r="L5" s="235"/>
      <c r="M5" s="235"/>
      <c r="N5" s="235"/>
      <c r="O5" s="235"/>
      <c r="P5" s="235"/>
      <c r="Q5" s="235"/>
      <c r="R5" s="235"/>
      <c r="S5" s="235"/>
      <c r="T5" s="235"/>
      <c r="U5" s="235"/>
    </row>
    <row r="6" spans="1:21" s="13" customFormat="1" ht="15" customHeight="1" x14ac:dyDescent="0.25">
      <c r="A6" s="240"/>
      <c r="B6" s="230" t="s">
        <v>118</v>
      </c>
      <c r="C6" s="230"/>
      <c r="D6" s="230"/>
      <c r="E6" s="230" t="s">
        <v>119</v>
      </c>
      <c r="F6" s="230"/>
      <c r="G6" s="230"/>
      <c r="H6" s="230"/>
      <c r="I6" s="230"/>
      <c r="J6" s="214" t="s">
        <v>118</v>
      </c>
      <c r="K6" s="214"/>
      <c r="L6" s="214"/>
      <c r="M6" s="214"/>
      <c r="N6" s="214"/>
      <c r="O6" s="214"/>
      <c r="P6" s="224" t="s">
        <v>152</v>
      </c>
      <c r="Q6" s="225"/>
      <c r="R6" s="225"/>
      <c r="S6" s="225"/>
      <c r="T6" s="225"/>
      <c r="U6" s="226"/>
    </row>
    <row r="7" spans="1:21" s="99" customFormat="1" ht="15" customHeight="1" x14ac:dyDescent="0.2">
      <c r="A7" s="240"/>
      <c r="B7" s="230" t="s">
        <v>120</v>
      </c>
      <c r="C7" s="230" t="s">
        <v>121</v>
      </c>
      <c r="D7" s="214" t="s">
        <v>307</v>
      </c>
      <c r="E7" s="230" t="s">
        <v>131</v>
      </c>
      <c r="F7" s="230" t="s">
        <v>122</v>
      </c>
      <c r="G7" s="230"/>
      <c r="H7" s="230"/>
      <c r="I7" s="230"/>
      <c r="J7" s="230" t="s">
        <v>151</v>
      </c>
      <c r="K7" s="230"/>
      <c r="L7" s="230"/>
      <c r="M7" s="230"/>
      <c r="N7" s="214" t="s">
        <v>133</v>
      </c>
      <c r="O7" s="222" t="s">
        <v>134</v>
      </c>
      <c r="P7" s="232" t="s">
        <v>135</v>
      </c>
      <c r="Q7" s="233"/>
      <c r="R7" s="233"/>
      <c r="S7" s="233"/>
      <c r="T7" s="234"/>
      <c r="U7" s="227" t="s">
        <v>139</v>
      </c>
    </row>
    <row r="8" spans="1:21" s="99" customFormat="1" ht="20.25" customHeight="1" x14ac:dyDescent="0.2">
      <c r="A8" s="240"/>
      <c r="B8" s="230"/>
      <c r="C8" s="230"/>
      <c r="D8" s="214"/>
      <c r="E8" s="230"/>
      <c r="F8" s="230"/>
      <c r="G8" s="230"/>
      <c r="H8" s="230"/>
      <c r="I8" s="230"/>
      <c r="J8" s="230"/>
      <c r="K8" s="230"/>
      <c r="L8" s="230"/>
      <c r="M8" s="230"/>
      <c r="N8" s="214"/>
      <c r="O8" s="223"/>
      <c r="P8" s="232" t="s">
        <v>136</v>
      </c>
      <c r="Q8" s="234"/>
      <c r="R8" s="232" t="s">
        <v>137</v>
      </c>
      <c r="S8" s="234"/>
      <c r="T8" s="222" t="s">
        <v>138</v>
      </c>
      <c r="U8" s="228"/>
    </row>
    <row r="9" spans="1:21" s="99" customFormat="1" ht="21.75" customHeight="1" x14ac:dyDescent="0.2">
      <c r="A9" s="241"/>
      <c r="B9" s="127" t="s">
        <v>123</v>
      </c>
      <c r="C9" s="128" t="s">
        <v>124</v>
      </c>
      <c r="D9" s="128" t="s">
        <v>125</v>
      </c>
      <c r="E9" s="128" t="s">
        <v>123</v>
      </c>
      <c r="F9" s="129" t="s">
        <v>126</v>
      </c>
      <c r="G9" s="129" t="s">
        <v>127</v>
      </c>
      <c r="H9" s="129" t="s">
        <v>128</v>
      </c>
      <c r="I9" s="128" t="s">
        <v>2</v>
      </c>
      <c r="J9" s="118" t="s">
        <v>140</v>
      </c>
      <c r="K9" s="118" t="s">
        <v>141</v>
      </c>
      <c r="L9" s="118" t="s">
        <v>142</v>
      </c>
      <c r="M9" s="118" t="s">
        <v>143</v>
      </c>
      <c r="N9" s="214"/>
      <c r="O9" s="130" t="s">
        <v>144</v>
      </c>
      <c r="P9" s="130" t="s">
        <v>145</v>
      </c>
      <c r="Q9" s="130" t="s">
        <v>146</v>
      </c>
      <c r="R9" s="131" t="s">
        <v>147</v>
      </c>
      <c r="S9" s="130" t="s">
        <v>148</v>
      </c>
      <c r="T9" s="223"/>
      <c r="U9" s="229"/>
    </row>
    <row r="10" spans="1:21" ht="15" customHeight="1" x14ac:dyDescent="0.2">
      <c r="A10" s="35" t="s">
        <v>48</v>
      </c>
      <c r="B10" s="36">
        <v>265569.53700000001</v>
      </c>
      <c r="C10" s="36">
        <v>1240.9463966052967</v>
      </c>
      <c r="D10" s="58">
        <v>4.6727738829672187</v>
      </c>
      <c r="E10" s="36">
        <v>270278.03269999998</v>
      </c>
      <c r="F10" s="59">
        <v>590.12016666666671</v>
      </c>
      <c r="G10" s="59">
        <v>553.54465277777774</v>
      </c>
      <c r="H10" s="59">
        <v>670.92616666666663</v>
      </c>
      <c r="I10" s="59">
        <v>633.85015277777768</v>
      </c>
      <c r="J10" s="90">
        <v>4318.4500000000007</v>
      </c>
      <c r="K10" s="90">
        <v>7016.0760000000009</v>
      </c>
      <c r="L10" s="90">
        <v>4431.3609999999999</v>
      </c>
      <c r="M10" s="94">
        <v>15765.886999999999</v>
      </c>
      <c r="N10" s="90">
        <v>30.096950010781413</v>
      </c>
      <c r="O10" s="57">
        <v>1.9089918639389851</v>
      </c>
      <c r="P10" s="57">
        <v>351.46428571428572</v>
      </c>
      <c r="Q10" s="57">
        <v>325.7</v>
      </c>
      <c r="R10" s="57">
        <v>359.03571428571428</v>
      </c>
      <c r="S10" s="57">
        <v>355.89791666666662</v>
      </c>
      <c r="T10" s="57">
        <v>256.65297619047618</v>
      </c>
      <c r="U10" s="58">
        <v>1.7280249999999999</v>
      </c>
    </row>
    <row r="11" spans="1:21" ht="15" customHeight="1" x14ac:dyDescent="0.2">
      <c r="A11" s="34" t="s">
        <v>49</v>
      </c>
      <c r="B11" s="21">
        <v>286016.22099999996</v>
      </c>
      <c r="C11" s="21">
        <v>1324.3740991008951</v>
      </c>
      <c r="D11" s="61">
        <v>4.6304160458818711</v>
      </c>
      <c r="E11" s="21">
        <v>281950.35200000001</v>
      </c>
      <c r="F11" s="62">
        <v>593.69788888888877</v>
      </c>
      <c r="G11" s="62">
        <v>547.89086111111112</v>
      </c>
      <c r="H11" s="62">
        <v>647.54118055555557</v>
      </c>
      <c r="I11" s="62">
        <v>619.14823611111115</v>
      </c>
      <c r="J11" s="91">
        <v>3333</v>
      </c>
      <c r="K11" s="91">
        <v>8263.8119999999999</v>
      </c>
      <c r="L11" s="91">
        <v>3893.3699999999994</v>
      </c>
      <c r="M11" s="97">
        <v>15490.181999999997</v>
      </c>
      <c r="N11" s="91">
        <v>42.152253604538267</v>
      </c>
      <c r="O11" s="60">
        <v>2.7212239084433141</v>
      </c>
      <c r="P11" s="60">
        <v>460.77777777777777</v>
      </c>
      <c r="Q11" s="60">
        <v>446.98333333333341</v>
      </c>
      <c r="R11" s="60">
        <v>626.31736111111115</v>
      </c>
      <c r="S11" s="60">
        <v>621.81527777777785</v>
      </c>
      <c r="T11" s="60">
        <v>411.45208333333335</v>
      </c>
      <c r="U11" s="61">
        <v>2.0710166666666665</v>
      </c>
    </row>
    <row r="12" spans="1:21" ht="15" customHeight="1" x14ac:dyDescent="0.2">
      <c r="A12" s="35" t="s">
        <v>50</v>
      </c>
      <c r="B12" s="36">
        <v>250191.52500000005</v>
      </c>
      <c r="C12" s="36">
        <v>1258.8006462578553</v>
      </c>
      <c r="D12" s="58">
        <v>5.0313480692755483</v>
      </c>
      <c r="E12" s="36">
        <v>238600.36160100004</v>
      </c>
      <c r="F12" s="59">
        <v>1155.2784305555556</v>
      </c>
      <c r="G12" s="59">
        <v>1059.8974722222222</v>
      </c>
      <c r="H12" s="59">
        <v>1365.1335138888887</v>
      </c>
      <c r="I12" s="59">
        <v>1270.4974999999999</v>
      </c>
      <c r="J12" s="90">
        <v>4232.42</v>
      </c>
      <c r="K12" s="90">
        <v>8662.746000000001</v>
      </c>
      <c r="L12" s="90">
        <v>2243.0589999999997</v>
      </c>
      <c r="M12" s="95">
        <v>15138.224999999999</v>
      </c>
      <c r="N12" s="90">
        <v>41.374858034723374</v>
      </c>
      <c r="O12" s="57">
        <v>2.7331380022904521</v>
      </c>
      <c r="P12" s="57">
        <v>594.99545454545455</v>
      </c>
      <c r="Q12" s="57">
        <v>550.72666666666669</v>
      </c>
      <c r="R12" s="57">
        <v>903.27013888888894</v>
      </c>
      <c r="S12" s="57">
        <v>881.6111111111112</v>
      </c>
      <c r="T12" s="57">
        <v>495.7569444444444</v>
      </c>
      <c r="U12" s="58">
        <v>1.8101916666666666</v>
      </c>
    </row>
    <row r="13" spans="1:21" ht="15" customHeight="1" x14ac:dyDescent="0.2">
      <c r="A13" s="34" t="s">
        <v>51</v>
      </c>
      <c r="B13" s="21">
        <v>241912.864</v>
      </c>
      <c r="C13" s="21">
        <v>1309.8910797216831</v>
      </c>
      <c r="D13" s="61">
        <v>5.4147227148767216</v>
      </c>
      <c r="E13" s="21">
        <v>237551.22950000002</v>
      </c>
      <c r="F13" s="62">
        <v>1097.9523888888891</v>
      </c>
      <c r="G13" s="62">
        <v>1015.9605277777778</v>
      </c>
      <c r="H13" s="62">
        <v>1264.867486111111</v>
      </c>
      <c r="I13" s="62">
        <v>1188.3287222222223</v>
      </c>
      <c r="J13" s="91">
        <v>4353.54</v>
      </c>
      <c r="K13" s="91">
        <v>6198.503999999999</v>
      </c>
      <c r="L13" s="91">
        <v>2120.6509999999998</v>
      </c>
      <c r="M13" s="97">
        <v>12672.695000000003</v>
      </c>
      <c r="N13" s="91">
        <v>28.035311729177799</v>
      </c>
      <c r="O13" s="60">
        <v>2.2122612221928954</v>
      </c>
      <c r="P13" s="60">
        <v>559.40972222222217</v>
      </c>
      <c r="Q13" s="60">
        <v>557.875</v>
      </c>
      <c r="R13" s="60">
        <v>728.10606060606051</v>
      </c>
      <c r="S13" s="60">
        <v>712.18939393939388</v>
      </c>
      <c r="T13" s="60">
        <v>458.15972222222223</v>
      </c>
      <c r="U13" s="61">
        <v>1.5767166666666668</v>
      </c>
    </row>
    <row r="14" spans="1:21" ht="15" customHeight="1" x14ac:dyDescent="0.2">
      <c r="A14" s="35" t="s">
        <v>362</v>
      </c>
      <c r="B14" s="36">
        <v>245788.02599999995</v>
      </c>
      <c r="C14" s="36">
        <v>1435.8639661461953</v>
      </c>
      <c r="D14" s="58">
        <v>5.8418792384385529</v>
      </c>
      <c r="E14" s="36">
        <v>239416.25900000002</v>
      </c>
      <c r="F14" s="59">
        <v>1156.2691805555555</v>
      </c>
      <c r="G14" s="59">
        <v>1073.1994722222223</v>
      </c>
      <c r="H14" s="59">
        <v>1322.4580694444444</v>
      </c>
      <c r="I14" s="59">
        <v>1245.0970694444443</v>
      </c>
      <c r="J14" s="90">
        <v>2478.4369999999999</v>
      </c>
      <c r="K14" s="90">
        <v>5237.835</v>
      </c>
      <c r="L14" s="90">
        <v>916.4200000000003</v>
      </c>
      <c r="M14" s="95">
        <v>8632.6919999999991</v>
      </c>
      <c r="N14" s="90">
        <v>25.965327519699919</v>
      </c>
      <c r="O14" s="57">
        <v>3.0077903300268232</v>
      </c>
      <c r="P14" s="57">
        <v>714.03333333333342</v>
      </c>
      <c r="Q14" s="57">
        <v>653.5</v>
      </c>
      <c r="R14" s="57">
        <v>919.43500000000006</v>
      </c>
      <c r="S14" s="57">
        <v>889.97638888888878</v>
      </c>
      <c r="T14" s="57">
        <v>628.2930555555555</v>
      </c>
      <c r="U14" s="58">
        <v>2.2765083333333336</v>
      </c>
    </row>
    <row r="15" spans="1:21" ht="15" customHeight="1" x14ac:dyDescent="0.2">
      <c r="A15" s="34" t="s">
        <v>359</v>
      </c>
      <c r="B15" s="21">
        <v>257440.86999999997</v>
      </c>
      <c r="C15" s="21">
        <v>1507.1843169283352</v>
      </c>
      <c r="D15" s="60">
        <v>5.8548323957241921</v>
      </c>
      <c r="E15" s="21">
        <v>242840.86050000004</v>
      </c>
      <c r="F15" s="162">
        <v>1112.4934999999998</v>
      </c>
      <c r="G15" s="162">
        <v>1031.7879166666667</v>
      </c>
      <c r="H15" s="162">
        <v>1253.2442083333333</v>
      </c>
      <c r="I15" s="162">
        <v>1186.4779583333332</v>
      </c>
      <c r="J15" s="91">
        <v>2173.7709999999997</v>
      </c>
      <c r="K15" s="91">
        <v>6005.3779999999997</v>
      </c>
      <c r="L15" s="91">
        <v>826.92900000000031</v>
      </c>
      <c r="M15" s="97">
        <v>9006.0780000000013</v>
      </c>
      <c r="N15" s="84">
        <v>31.201179290811169</v>
      </c>
      <c r="O15" s="60">
        <v>3.468569535233978</v>
      </c>
      <c r="P15" s="60">
        <v>712.14285714285711</v>
      </c>
      <c r="Q15" s="60">
        <v>670.33333333333337</v>
      </c>
      <c r="R15" s="60">
        <v>1026.090909090909</v>
      </c>
      <c r="S15" s="60">
        <v>1010.3055555555557</v>
      </c>
      <c r="T15" s="60">
        <v>597.57083333333333</v>
      </c>
      <c r="U15" s="61">
        <v>2.1838916666666668</v>
      </c>
    </row>
    <row r="16" spans="1:21" ht="15" customHeight="1" x14ac:dyDescent="0.2">
      <c r="A16" s="8"/>
      <c r="B16" s="21"/>
      <c r="C16" s="21"/>
      <c r="D16" s="21"/>
      <c r="E16" s="21"/>
      <c r="F16" s="21"/>
      <c r="G16" s="21"/>
      <c r="H16" s="21"/>
      <c r="I16" s="21"/>
      <c r="J16" s="21"/>
      <c r="K16" s="22"/>
      <c r="L16" s="96"/>
      <c r="M16" s="96"/>
      <c r="O16" s="21"/>
      <c r="P16" s="21"/>
      <c r="Q16" s="22"/>
      <c r="R16" s="96"/>
      <c r="S16" s="96"/>
      <c r="T16" s="96"/>
      <c r="U16" s="96"/>
    </row>
    <row r="17" spans="1:21" ht="15" customHeight="1" x14ac:dyDescent="0.2">
      <c r="A17" s="9" t="s">
        <v>13</v>
      </c>
      <c r="B17" s="36">
        <v>59579.39</v>
      </c>
      <c r="C17" s="36">
        <v>270.06233513890595</v>
      </c>
      <c r="D17" s="58">
        <v>4.5328147055366959</v>
      </c>
      <c r="E17" s="36">
        <v>60626.1662</v>
      </c>
      <c r="F17" s="59">
        <v>560.19833333333327</v>
      </c>
      <c r="G17" s="67">
        <v>520.29361111111109</v>
      </c>
      <c r="H17" s="59">
        <v>629.04833333333329</v>
      </c>
      <c r="I17" s="66">
        <v>597.44111111111113</v>
      </c>
      <c r="J17" s="66">
        <v>853.94</v>
      </c>
      <c r="K17" s="66">
        <v>2010.8950000000002</v>
      </c>
      <c r="L17" s="66">
        <v>854.06000000000006</v>
      </c>
      <c r="M17" s="66">
        <v>3718.895</v>
      </c>
      <c r="N17" s="66">
        <v>7.1903380971427486</v>
      </c>
      <c r="O17" s="66">
        <v>1.9334609063022077</v>
      </c>
      <c r="P17" s="66">
        <v>309.23611111111109</v>
      </c>
      <c r="Q17" s="66">
        <v>319</v>
      </c>
      <c r="R17" s="66">
        <v>351.39285714285717</v>
      </c>
      <c r="S17" s="66">
        <v>350.79444444444448</v>
      </c>
      <c r="T17" s="66">
        <v>248.32857142857142</v>
      </c>
      <c r="U17" s="66">
        <v>1.5982000000000001</v>
      </c>
    </row>
    <row r="18" spans="1:21" ht="15" customHeight="1" x14ac:dyDescent="0.2">
      <c r="A18" s="9" t="s">
        <v>14</v>
      </c>
      <c r="B18" s="36">
        <v>64507.520000000004</v>
      </c>
      <c r="C18" s="36">
        <v>301.59596624293806</v>
      </c>
      <c r="D18" s="58">
        <v>4.6753613569850154</v>
      </c>
      <c r="E18" s="36">
        <v>64692.186499999996</v>
      </c>
      <c r="F18" s="59">
        <v>625.37133333333338</v>
      </c>
      <c r="G18" s="67">
        <v>586.90533333333337</v>
      </c>
      <c r="H18" s="59">
        <v>718.3126666666667</v>
      </c>
      <c r="I18" s="66">
        <v>672.62599999999998</v>
      </c>
      <c r="J18" s="66">
        <v>687.31999999999994</v>
      </c>
      <c r="K18" s="66">
        <v>1819.1080000000002</v>
      </c>
      <c r="L18" s="66">
        <v>679.62699999999984</v>
      </c>
      <c r="M18" s="66">
        <v>3186.0550000000003</v>
      </c>
      <c r="N18" s="66">
        <v>6.2703128331193394</v>
      </c>
      <c r="O18" s="66">
        <v>1.9680491495342483</v>
      </c>
      <c r="P18" s="66"/>
      <c r="Q18" s="66"/>
      <c r="R18" s="66">
        <v>320.22222222222223</v>
      </c>
      <c r="S18" s="66">
        <v>316.83333333333331</v>
      </c>
      <c r="T18" s="66">
        <v>195.2222222222222</v>
      </c>
      <c r="U18" s="66">
        <v>1.3606333333333334</v>
      </c>
    </row>
    <row r="19" spans="1:21" ht="15" customHeight="1" x14ac:dyDescent="0.2">
      <c r="A19" s="9" t="s">
        <v>15</v>
      </c>
      <c r="B19" s="36">
        <v>74209.039999999994</v>
      </c>
      <c r="C19" s="36">
        <v>347.89861541077767</v>
      </c>
      <c r="D19" s="58">
        <v>4.688089421595774</v>
      </c>
      <c r="E19" s="36">
        <v>83154.027000000002</v>
      </c>
      <c r="F19" s="59">
        <v>546.37766666666664</v>
      </c>
      <c r="G19" s="67">
        <v>533.33299999999997</v>
      </c>
      <c r="H19" s="59">
        <v>667.51699999999994</v>
      </c>
      <c r="I19" s="66">
        <v>620.17100000000005</v>
      </c>
      <c r="J19" s="66">
        <v>1077.3399999999999</v>
      </c>
      <c r="K19" s="66">
        <v>1542.2280000000001</v>
      </c>
      <c r="L19" s="66">
        <v>1130.0609999999999</v>
      </c>
      <c r="M19" s="66">
        <v>3749.6289999999999</v>
      </c>
      <c r="N19" s="66">
        <v>6.4587938627326515</v>
      </c>
      <c r="O19" s="66">
        <v>1.722515444256659</v>
      </c>
      <c r="P19" s="66">
        <v>323</v>
      </c>
      <c r="Q19" s="66">
        <v>281.25</v>
      </c>
      <c r="R19" s="66">
        <v>328.33333333333331</v>
      </c>
      <c r="S19" s="66">
        <v>326.20833333333331</v>
      </c>
      <c r="T19" s="66">
        <v>256.45</v>
      </c>
      <c r="U19" s="66">
        <v>1.6815333333333333</v>
      </c>
    </row>
    <row r="20" spans="1:21" ht="15" customHeight="1" x14ac:dyDescent="0.2">
      <c r="A20" s="9" t="s">
        <v>16</v>
      </c>
      <c r="B20" s="36">
        <v>67273.587</v>
      </c>
      <c r="C20" s="36">
        <v>321.38947981267495</v>
      </c>
      <c r="D20" s="58">
        <v>4.7773501331611019</v>
      </c>
      <c r="E20" s="36">
        <v>61805.652999999998</v>
      </c>
      <c r="F20" s="59">
        <v>628.5333333333333</v>
      </c>
      <c r="G20" s="67">
        <v>573.64666666666665</v>
      </c>
      <c r="H20" s="59">
        <v>668.82666666666671</v>
      </c>
      <c r="I20" s="66">
        <v>645.16250000000002</v>
      </c>
      <c r="J20" s="66">
        <v>1699.8500000000001</v>
      </c>
      <c r="K20" s="66">
        <v>1643.845</v>
      </c>
      <c r="L20" s="66">
        <v>1767.6130000000003</v>
      </c>
      <c r="M20" s="66">
        <v>5111.3080000000009</v>
      </c>
      <c r="N20" s="66">
        <v>10.177505217786667</v>
      </c>
      <c r="O20" s="66">
        <v>1.9911743173736869</v>
      </c>
      <c r="P20" s="66">
        <v>403.1805555555556</v>
      </c>
      <c r="Q20" s="66">
        <v>373.5</v>
      </c>
      <c r="R20" s="66">
        <v>436.19444444444451</v>
      </c>
      <c r="S20" s="66">
        <v>429.75555555555553</v>
      </c>
      <c r="T20" s="66">
        <v>326.61111111111109</v>
      </c>
      <c r="U20" s="66">
        <v>2.2717333333333332</v>
      </c>
    </row>
    <row r="21" spans="1:21" ht="15" customHeight="1" x14ac:dyDescent="0.2">
      <c r="A21" s="8" t="s">
        <v>17</v>
      </c>
      <c r="B21" s="21">
        <v>69887.070999999996</v>
      </c>
      <c r="C21" s="21">
        <v>338.12763101029952</v>
      </c>
      <c r="D21" s="61">
        <v>4.8382000586388791</v>
      </c>
      <c r="E21" s="21">
        <v>75583.137000000002</v>
      </c>
      <c r="F21" s="62">
        <v>620.75099999999998</v>
      </c>
      <c r="G21" s="68">
        <v>588.14266666666674</v>
      </c>
      <c r="H21" s="62">
        <v>676.14</v>
      </c>
      <c r="I21" s="65">
        <v>650.87916666666661</v>
      </c>
      <c r="J21" s="65">
        <v>1054.93</v>
      </c>
      <c r="K21" s="65">
        <v>2428.8900000000003</v>
      </c>
      <c r="L21" s="65">
        <v>1682.9429999999993</v>
      </c>
      <c r="M21" s="65">
        <v>5166.762999999999</v>
      </c>
      <c r="N21" s="65">
        <v>12.202604039313663</v>
      </c>
      <c r="O21" s="65">
        <v>2.3617502949745646</v>
      </c>
      <c r="P21" s="65">
        <v>443.11111111111109</v>
      </c>
      <c r="Q21" s="65">
        <v>430</v>
      </c>
      <c r="R21" s="65">
        <v>536.24166666666667</v>
      </c>
      <c r="S21" s="65">
        <v>532.58333333333337</v>
      </c>
      <c r="T21" s="65">
        <v>370.77777777777783</v>
      </c>
      <c r="U21" s="65">
        <v>2.3374666666666664</v>
      </c>
    </row>
    <row r="22" spans="1:21" ht="15" customHeight="1" x14ac:dyDescent="0.2">
      <c r="A22" s="8" t="s">
        <v>18</v>
      </c>
      <c r="B22" s="21">
        <v>67095.737999999998</v>
      </c>
      <c r="C22" s="21">
        <v>312.40362650544262</v>
      </c>
      <c r="D22" s="61">
        <v>4.656087492553441</v>
      </c>
      <c r="E22" s="21">
        <v>74976.134999999995</v>
      </c>
      <c r="F22" s="62">
        <v>581.19950000000006</v>
      </c>
      <c r="G22" s="68">
        <v>544.06727777777769</v>
      </c>
      <c r="H22" s="62">
        <v>638.72950000000003</v>
      </c>
      <c r="I22" s="65">
        <v>608.52855555555561</v>
      </c>
      <c r="J22" s="65">
        <v>443.91</v>
      </c>
      <c r="K22" s="65">
        <v>1596.931</v>
      </c>
      <c r="L22" s="65">
        <v>824.96400000000017</v>
      </c>
      <c r="M22" s="65">
        <v>2865.8050000000003</v>
      </c>
      <c r="N22" s="65">
        <v>8.0812529051632787</v>
      </c>
      <c r="O22" s="65">
        <v>2.8198893173692134</v>
      </c>
      <c r="P22" s="65">
        <v>449.5</v>
      </c>
      <c r="Q22" s="65">
        <v>434.16666666666663</v>
      </c>
      <c r="R22" s="65">
        <v>600.94444444444446</v>
      </c>
      <c r="S22" s="65">
        <v>595.02777777777771</v>
      </c>
      <c r="T22" s="65">
        <v>420.0555555555556</v>
      </c>
      <c r="U22" s="65">
        <v>2.1885333333333334</v>
      </c>
    </row>
    <row r="23" spans="1:21" ht="15" customHeight="1" x14ac:dyDescent="0.2">
      <c r="A23" s="8" t="s">
        <v>19</v>
      </c>
      <c r="B23" s="21">
        <v>74656.622000000003</v>
      </c>
      <c r="C23" s="21">
        <v>336.0335997555764</v>
      </c>
      <c r="D23" s="61">
        <v>4.5010555092564513</v>
      </c>
      <c r="E23" s="21">
        <v>72075.606</v>
      </c>
      <c r="F23" s="62">
        <v>556.68633333333344</v>
      </c>
      <c r="G23" s="68">
        <v>513.53550000000007</v>
      </c>
      <c r="H23" s="62">
        <v>625.65350000000001</v>
      </c>
      <c r="I23" s="65">
        <v>591.6778333333333</v>
      </c>
      <c r="J23" s="65">
        <v>1310.04</v>
      </c>
      <c r="K23" s="65">
        <v>2183.3029999999999</v>
      </c>
      <c r="L23" s="65">
        <v>877.01299999999981</v>
      </c>
      <c r="M23" s="65">
        <v>4370.3559999999998</v>
      </c>
      <c r="N23" s="65">
        <v>12.171506430735135</v>
      </c>
      <c r="O23" s="65">
        <v>2.7850148662340404</v>
      </c>
      <c r="P23" s="65">
        <v>457.83333333333331</v>
      </c>
      <c r="Q23" s="65">
        <v>449.5</v>
      </c>
      <c r="R23" s="65">
        <v>662.83333333333337</v>
      </c>
      <c r="S23" s="65">
        <v>660.01111111111106</v>
      </c>
      <c r="T23" s="65">
        <v>418.99166666666662</v>
      </c>
      <c r="U23" s="65">
        <v>1.8516333333333332</v>
      </c>
    </row>
    <row r="24" spans="1:21" ht="15" customHeight="1" x14ac:dyDescent="0.2">
      <c r="A24" s="8" t="s">
        <v>20</v>
      </c>
      <c r="B24" s="21">
        <v>74376.790000000008</v>
      </c>
      <c r="C24" s="21">
        <v>337.80924182957665</v>
      </c>
      <c r="D24" s="61">
        <v>4.5418636893253481</v>
      </c>
      <c r="E24" s="21">
        <v>59315.473999999995</v>
      </c>
      <c r="F24" s="62">
        <v>616.15472222222218</v>
      </c>
      <c r="G24" s="68">
        <v>545.8180000000001</v>
      </c>
      <c r="H24" s="62">
        <v>649.64172222222226</v>
      </c>
      <c r="I24" s="65">
        <v>625.50738888888884</v>
      </c>
      <c r="J24" s="65">
        <v>524.12</v>
      </c>
      <c r="K24" s="65">
        <v>2054.6880000000001</v>
      </c>
      <c r="L24" s="65">
        <v>508.45000000000016</v>
      </c>
      <c r="M24" s="65">
        <v>3087.2579999999998</v>
      </c>
      <c r="N24" s="65">
        <v>9.6968902293262005</v>
      </c>
      <c r="O24" s="65">
        <v>3.1409393802935166</v>
      </c>
      <c r="P24" s="65">
        <v>492.66666666666669</v>
      </c>
      <c r="Q24" s="65">
        <v>481.5</v>
      </c>
      <c r="R24" s="65">
        <v>705.25</v>
      </c>
      <c r="S24" s="65">
        <v>699.6388888888888</v>
      </c>
      <c r="T24" s="65">
        <v>435.98333333333335</v>
      </c>
      <c r="U24" s="65">
        <v>1.9064333333333334</v>
      </c>
    </row>
    <row r="25" spans="1:21" ht="15" customHeight="1" x14ac:dyDescent="0.2">
      <c r="A25" s="9" t="s">
        <v>21</v>
      </c>
      <c r="B25" s="36">
        <v>63701.139000000003</v>
      </c>
      <c r="C25" s="36">
        <v>286.76862476618919</v>
      </c>
      <c r="D25" s="58">
        <v>4.5017817462602858</v>
      </c>
      <c r="E25" s="36">
        <v>66465.470001000009</v>
      </c>
      <c r="F25" s="59">
        <v>716.95433333333347</v>
      </c>
      <c r="G25" s="67">
        <v>671.63283333333345</v>
      </c>
      <c r="H25" s="59">
        <v>802.68499999999995</v>
      </c>
      <c r="I25" s="66">
        <v>761.66883333333317</v>
      </c>
      <c r="J25" s="66">
        <v>1871.1599999999999</v>
      </c>
      <c r="K25" s="66">
        <v>2555.5590000000002</v>
      </c>
      <c r="L25" s="66">
        <v>1096.9209999999998</v>
      </c>
      <c r="M25" s="66">
        <v>5523.6399999999994</v>
      </c>
      <c r="N25" s="66">
        <v>14.639646280714105</v>
      </c>
      <c r="O25" s="66">
        <v>2.6503621308981229</v>
      </c>
      <c r="P25" s="66">
        <v>492.56666666666666</v>
      </c>
      <c r="Q25" s="66">
        <v>594.33333333333337</v>
      </c>
      <c r="R25" s="66">
        <v>719.02499999999998</v>
      </c>
      <c r="S25" s="66">
        <v>715.08333333333337</v>
      </c>
      <c r="T25" s="66">
        <v>419.16666666666669</v>
      </c>
      <c r="U25" s="66">
        <v>2.0691000000000002</v>
      </c>
    </row>
    <row r="26" spans="1:21" ht="15" customHeight="1" x14ac:dyDescent="0.2">
      <c r="A26" s="9" t="s">
        <v>22</v>
      </c>
      <c r="B26" s="36">
        <v>61595.981</v>
      </c>
      <c r="C26" s="36">
        <v>290.6098411239908</v>
      </c>
      <c r="D26" s="58">
        <v>4.7180000449053781</v>
      </c>
      <c r="E26" s="36">
        <v>63485.313999999998</v>
      </c>
      <c r="F26" s="59">
        <v>1105.819611111111</v>
      </c>
      <c r="G26" s="67">
        <v>1085.8492222222221</v>
      </c>
      <c r="H26" s="59">
        <v>1472.307222222222</v>
      </c>
      <c r="I26" s="66">
        <v>1321.0106111111111</v>
      </c>
      <c r="J26" s="66">
        <v>1013.96</v>
      </c>
      <c r="K26" s="66">
        <v>1643.0020000000002</v>
      </c>
      <c r="L26" s="66">
        <v>421.51399999999967</v>
      </c>
      <c r="M26" s="66">
        <v>3078.4760000000001</v>
      </c>
      <c r="N26" s="66">
        <v>8.652673853598797</v>
      </c>
      <c r="O26" s="66">
        <v>2.8107004419065786</v>
      </c>
      <c r="P26" s="66">
        <v>722.62777777777774</v>
      </c>
      <c r="Q26" s="66">
        <v>639</v>
      </c>
      <c r="R26" s="66">
        <v>1171.9444444444446</v>
      </c>
      <c r="S26" s="66">
        <v>1160.9722222222224</v>
      </c>
      <c r="T26" s="66">
        <v>588.33333333333337</v>
      </c>
      <c r="U26" s="66">
        <v>2.0608666666666666</v>
      </c>
    </row>
    <row r="27" spans="1:21" ht="15" customHeight="1" x14ac:dyDescent="0.2">
      <c r="A27" s="9" t="s">
        <v>23</v>
      </c>
      <c r="B27" s="36">
        <v>67310.91</v>
      </c>
      <c r="C27" s="36">
        <v>359.74741211503351</v>
      </c>
      <c r="D27" s="58">
        <v>5.3445631936194813</v>
      </c>
      <c r="E27" s="36">
        <v>56403.143000000004</v>
      </c>
      <c r="F27" s="59">
        <v>1389.7916666666667</v>
      </c>
      <c r="G27" s="67">
        <v>1251.2288333333333</v>
      </c>
      <c r="H27" s="59">
        <v>1659.5825000000002</v>
      </c>
      <c r="I27" s="66">
        <v>1543.1296666666667</v>
      </c>
      <c r="J27" s="66">
        <v>248</v>
      </c>
      <c r="K27" s="66">
        <v>2290.299</v>
      </c>
      <c r="L27" s="66">
        <v>188.33600000000001</v>
      </c>
      <c r="M27" s="66">
        <v>2726.6350000000002</v>
      </c>
      <c r="N27" s="66">
        <v>9.45382011053184</v>
      </c>
      <c r="O27" s="66">
        <v>3.4672114568073247</v>
      </c>
      <c r="P27" s="66">
        <v>677.5</v>
      </c>
      <c r="Q27" s="66"/>
      <c r="R27" s="66">
        <v>1083.5</v>
      </c>
      <c r="S27" s="66">
        <v>1013.611111111111</v>
      </c>
      <c r="T27" s="66">
        <v>541.16666666666663</v>
      </c>
      <c r="U27" s="66">
        <v>1.6228333333333331</v>
      </c>
    </row>
    <row r="28" spans="1:21" ht="15" customHeight="1" x14ac:dyDescent="0.2">
      <c r="A28" s="9" t="s">
        <v>24</v>
      </c>
      <c r="B28" s="36">
        <v>57583.495000000003</v>
      </c>
      <c r="C28" s="36">
        <v>321.67476825264197</v>
      </c>
      <c r="D28" s="58">
        <v>5.5862321009282594</v>
      </c>
      <c r="E28" s="36">
        <v>52246.434600000008</v>
      </c>
      <c r="F28" s="59">
        <v>1408.5481111111112</v>
      </c>
      <c r="G28" s="67">
        <v>1230.8790000000001</v>
      </c>
      <c r="H28" s="59">
        <v>1525.9593333333335</v>
      </c>
      <c r="I28" s="66">
        <v>1456.1808888888888</v>
      </c>
      <c r="J28" s="66">
        <v>1099.3</v>
      </c>
      <c r="K28" s="66">
        <v>2173.886</v>
      </c>
      <c r="L28" s="66">
        <v>536.28800000000012</v>
      </c>
      <c r="M28" s="66">
        <v>3809.4740000000002</v>
      </c>
      <c r="N28" s="66">
        <v>8.6287177898786318</v>
      </c>
      <c r="O28" s="66">
        <v>2.2650680356077064</v>
      </c>
      <c r="P28" s="66">
        <v>514.78888888888889</v>
      </c>
      <c r="Q28" s="66">
        <v>506.76666666666665</v>
      </c>
      <c r="R28" s="66">
        <v>638.6111111111112</v>
      </c>
      <c r="S28" s="66">
        <v>636.77777777777783</v>
      </c>
      <c r="T28" s="66">
        <v>434.36111111111109</v>
      </c>
      <c r="U28" s="66">
        <v>1.4879666666666667</v>
      </c>
    </row>
    <row r="29" spans="1:21" ht="15" customHeight="1" x14ac:dyDescent="0.2">
      <c r="A29" s="8" t="s">
        <v>25</v>
      </c>
      <c r="B29" s="21">
        <v>54083.373</v>
      </c>
      <c r="C29" s="21">
        <v>314.27490919206321</v>
      </c>
      <c r="D29" s="61">
        <v>5.8109339665642379</v>
      </c>
      <c r="E29" s="21">
        <v>58094.404500000004</v>
      </c>
      <c r="F29" s="62">
        <v>1385.2423333333336</v>
      </c>
      <c r="G29" s="68">
        <v>1193.3815</v>
      </c>
      <c r="H29" s="62">
        <v>1455.6881666666668</v>
      </c>
      <c r="I29" s="65">
        <v>1402.848</v>
      </c>
      <c r="J29" s="65">
        <v>1911.48</v>
      </c>
      <c r="K29" s="65">
        <v>2357.2509999999997</v>
      </c>
      <c r="L29" s="65">
        <v>1215.7740000000001</v>
      </c>
      <c r="M29" s="65">
        <v>5484.5050000000001</v>
      </c>
      <c r="N29" s="65">
        <v>10.794796522409829</v>
      </c>
      <c r="O29" s="65">
        <v>1.9682353325249642</v>
      </c>
      <c r="P29" s="65">
        <v>485.88888888888891</v>
      </c>
      <c r="Q29" s="65">
        <v>484</v>
      </c>
      <c r="R29" s="65">
        <v>608.33333333333326</v>
      </c>
      <c r="S29" s="65">
        <v>591</v>
      </c>
      <c r="T29" s="65">
        <v>403.5555555555556</v>
      </c>
      <c r="U29" s="65">
        <v>1.6093333333333335</v>
      </c>
    </row>
    <row r="30" spans="1:21" ht="15" customHeight="1" x14ac:dyDescent="0.2">
      <c r="A30" s="8" t="s">
        <v>26</v>
      </c>
      <c r="B30" s="21">
        <v>58134.668000000005</v>
      </c>
      <c r="C30" s="21">
        <v>321.24522084270916</v>
      </c>
      <c r="D30" s="61">
        <v>5.525880372150902</v>
      </c>
      <c r="E30" s="21">
        <v>63796.673999999999</v>
      </c>
      <c r="F30" s="62">
        <v>1025.7903333333334</v>
      </c>
      <c r="G30" s="68">
        <v>948.26600000000008</v>
      </c>
      <c r="H30" s="62">
        <v>1169.7046666666665</v>
      </c>
      <c r="I30" s="65">
        <v>1097.6320000000001</v>
      </c>
      <c r="J30" s="65">
        <v>1300.78</v>
      </c>
      <c r="K30" s="65">
        <v>1256.7280000000001</v>
      </c>
      <c r="L30" s="65">
        <v>393.27599999999973</v>
      </c>
      <c r="M30" s="65">
        <v>2950.7840000000001</v>
      </c>
      <c r="N30" s="65">
        <v>6.3850268652297242</v>
      </c>
      <c r="O30" s="65">
        <v>2.1638408183146325</v>
      </c>
      <c r="P30" s="65">
        <v>495.08333333333331</v>
      </c>
      <c r="Q30" s="65">
        <v>446.75</v>
      </c>
      <c r="R30" s="65">
        <v>627</v>
      </c>
      <c r="S30" s="65">
        <v>623.08333333333337</v>
      </c>
      <c r="T30" s="65">
        <v>453.58333333333331</v>
      </c>
      <c r="U30" s="65">
        <v>1.5440333333333331</v>
      </c>
    </row>
    <row r="31" spans="1:21" ht="15" customHeight="1" x14ac:dyDescent="0.2">
      <c r="A31" s="8" t="s">
        <v>27</v>
      </c>
      <c r="B31" s="21">
        <v>69268.754000000001</v>
      </c>
      <c r="C31" s="21">
        <v>354.79135466112712</v>
      </c>
      <c r="D31" s="61">
        <v>5.1219537550960874</v>
      </c>
      <c r="E31" s="21">
        <v>63211.622999999992</v>
      </c>
      <c r="F31" s="62">
        <v>954.4085</v>
      </c>
      <c r="G31" s="68">
        <v>939.86599999999999</v>
      </c>
      <c r="H31" s="62">
        <v>1197.6925000000001</v>
      </c>
      <c r="I31" s="65">
        <v>1102.4571666666668</v>
      </c>
      <c r="J31" s="65">
        <v>830.17</v>
      </c>
      <c r="K31" s="65">
        <v>1442.27</v>
      </c>
      <c r="L31" s="65">
        <v>265.97400000000027</v>
      </c>
      <c r="M31" s="65">
        <v>2538.4140000000002</v>
      </c>
      <c r="N31" s="65">
        <v>6.3473468928414327</v>
      </c>
      <c r="O31" s="65">
        <v>2.5005168159494202</v>
      </c>
      <c r="P31" s="65">
        <v>561.44444444444446</v>
      </c>
      <c r="Q31" s="65">
        <v>510</v>
      </c>
      <c r="R31" s="65">
        <v>772.41666666666663</v>
      </c>
      <c r="S31" s="65">
        <v>757.05555555555554</v>
      </c>
      <c r="T31" s="65">
        <v>439.5</v>
      </c>
      <c r="U31" s="65">
        <v>1.5055333333333334</v>
      </c>
    </row>
    <row r="32" spans="1:21" ht="15" customHeight="1" x14ac:dyDescent="0.2">
      <c r="A32" s="8" t="s">
        <v>28</v>
      </c>
      <c r="B32" s="21">
        <v>60426.068999999996</v>
      </c>
      <c r="C32" s="21">
        <v>319.57959502578365</v>
      </c>
      <c r="D32" s="61">
        <v>5.2887702330228308</v>
      </c>
      <c r="E32" s="21">
        <v>52448.527999999998</v>
      </c>
      <c r="F32" s="62">
        <v>1026.3683888888888</v>
      </c>
      <c r="G32" s="68">
        <v>982.32861111111106</v>
      </c>
      <c r="H32" s="62">
        <v>1236.3846111111113</v>
      </c>
      <c r="I32" s="65">
        <v>1150.3777222222222</v>
      </c>
      <c r="J32" s="65">
        <v>311.10999999999996</v>
      </c>
      <c r="K32" s="65">
        <v>1142.2549999999999</v>
      </c>
      <c r="L32" s="65">
        <v>245.62700000000001</v>
      </c>
      <c r="M32" s="65">
        <v>1698.9919999999997</v>
      </c>
      <c r="N32" s="65">
        <v>4.5081414486968159</v>
      </c>
      <c r="O32" s="65">
        <v>2.6534212337061129</v>
      </c>
      <c r="P32" s="65">
        <v>695.22222222222229</v>
      </c>
      <c r="Q32" s="65">
        <v>711.25</v>
      </c>
      <c r="R32" s="65">
        <v>864.75</v>
      </c>
      <c r="S32" s="65">
        <v>837.22222222222217</v>
      </c>
      <c r="T32" s="65">
        <v>536</v>
      </c>
      <c r="U32" s="65">
        <v>1.6479666666666668</v>
      </c>
    </row>
    <row r="33" spans="1:21" ht="15" customHeight="1" x14ac:dyDescent="0.2">
      <c r="A33" s="9" t="s">
        <v>369</v>
      </c>
      <c r="B33" s="36">
        <v>62328.094999999994</v>
      </c>
      <c r="C33" s="36">
        <v>354.76973814134288</v>
      </c>
      <c r="D33" s="58">
        <v>5.6919714639336068</v>
      </c>
      <c r="E33" s="36">
        <v>60573.986499999999</v>
      </c>
      <c r="F33" s="59">
        <v>1182.6061666666667</v>
      </c>
      <c r="G33" s="67">
        <v>1141.4553333333333</v>
      </c>
      <c r="H33" s="59">
        <v>1395.3938333333333</v>
      </c>
      <c r="I33" s="66">
        <v>1312.0185000000001</v>
      </c>
      <c r="J33" s="66">
        <v>495.42</v>
      </c>
      <c r="K33" s="66">
        <v>1586.1880000000001</v>
      </c>
      <c r="L33" s="66">
        <v>284.74</v>
      </c>
      <c r="M33" s="66">
        <v>2366.348</v>
      </c>
      <c r="N33" s="66">
        <v>6.6862496250041383</v>
      </c>
      <c r="O33" s="66">
        <v>2.8255563530825296</v>
      </c>
      <c r="P33" s="66">
        <v>665.1111111111112</v>
      </c>
      <c r="Q33" s="66">
        <v>654.5</v>
      </c>
      <c r="R33" s="66">
        <v>780</v>
      </c>
      <c r="S33" s="66">
        <v>781.33333333333337</v>
      </c>
      <c r="T33" s="66">
        <v>557.8611111111112</v>
      </c>
      <c r="U33" s="66">
        <v>2.0730666666666671</v>
      </c>
    </row>
    <row r="34" spans="1:21" ht="15" customHeight="1" x14ac:dyDescent="0.2">
      <c r="A34" s="9" t="s">
        <v>370</v>
      </c>
      <c r="B34" s="36">
        <v>56784.793000000005</v>
      </c>
      <c r="C34" s="36">
        <v>332.24068261574263</v>
      </c>
      <c r="D34" s="58">
        <v>5.8508742404985545</v>
      </c>
      <c r="E34" s="36">
        <v>58363.0625</v>
      </c>
      <c r="F34" s="59">
        <v>1162.9741666666666</v>
      </c>
      <c r="G34" s="67">
        <v>1085.1000000000001</v>
      </c>
      <c r="H34" s="59">
        <v>1348.9383333333333</v>
      </c>
      <c r="I34" s="66">
        <v>1259.9599999999998</v>
      </c>
      <c r="J34" s="66">
        <v>540.29999999999995</v>
      </c>
      <c r="K34" s="66">
        <v>1082.425</v>
      </c>
      <c r="L34" s="66">
        <v>184.92800000000005</v>
      </c>
      <c r="M34" s="66">
        <v>1807.6530000000002</v>
      </c>
      <c r="N34" s="66">
        <v>5.0845056309751175</v>
      </c>
      <c r="O34" s="66">
        <v>2.8127664053748793</v>
      </c>
      <c r="P34" s="66">
        <v>660</v>
      </c>
      <c r="Q34" s="66">
        <v>640</v>
      </c>
      <c r="R34" s="66">
        <v>774.375</v>
      </c>
      <c r="S34" s="66">
        <v>775.25</v>
      </c>
      <c r="T34" s="66">
        <v>558.83333333333337</v>
      </c>
      <c r="U34" s="66">
        <v>2.2305666666666668</v>
      </c>
    </row>
    <row r="35" spans="1:21" ht="15" customHeight="1" x14ac:dyDescent="0.2">
      <c r="A35" s="9" t="s">
        <v>371</v>
      </c>
      <c r="B35" s="36">
        <v>63244.163</v>
      </c>
      <c r="C35" s="36">
        <v>372.28396031122952</v>
      </c>
      <c r="D35" s="58">
        <v>5.8864556451040313</v>
      </c>
      <c r="E35" s="36">
        <v>62753.319000000003</v>
      </c>
      <c r="F35" s="59">
        <v>1154.1986666666667</v>
      </c>
      <c r="G35" s="67">
        <v>1054.4216666666666</v>
      </c>
      <c r="H35" s="59">
        <v>1300.4278333333332</v>
      </c>
      <c r="I35" s="66">
        <v>1227.1271666666664</v>
      </c>
      <c r="J35" s="66">
        <v>1023.197</v>
      </c>
      <c r="K35" s="66">
        <v>1160.19</v>
      </c>
      <c r="L35" s="66">
        <v>214.1940000000003</v>
      </c>
      <c r="M35" s="66">
        <v>2397.5810000000001</v>
      </c>
      <c r="N35" s="66">
        <v>6.9155907289257019</v>
      </c>
      <c r="O35" s="66">
        <v>2.8844033752877176</v>
      </c>
      <c r="P35" s="66">
        <v>726</v>
      </c>
      <c r="Q35" s="66">
        <v>665</v>
      </c>
      <c r="R35" s="66">
        <v>955.61666666666667</v>
      </c>
      <c r="S35" s="66">
        <v>947.76666666666677</v>
      </c>
      <c r="T35" s="66">
        <v>670.36666666666667</v>
      </c>
      <c r="U35" s="66">
        <v>2.3658999999999999</v>
      </c>
    </row>
    <row r="36" spans="1:21" ht="15" customHeight="1" x14ac:dyDescent="0.2">
      <c r="A36" s="9" t="s">
        <v>372</v>
      </c>
      <c r="B36" s="36">
        <v>63430.974999999999</v>
      </c>
      <c r="C36" s="36">
        <v>376.56958507787994</v>
      </c>
      <c r="D36" s="58">
        <v>5.9366829073316296</v>
      </c>
      <c r="E36" s="41">
        <v>57725.891000000003</v>
      </c>
      <c r="F36" s="59">
        <v>1125.2977222222223</v>
      </c>
      <c r="G36" s="67">
        <v>1011.8208888888888</v>
      </c>
      <c r="H36" s="59">
        <v>1245.0722777777776</v>
      </c>
      <c r="I36" s="66">
        <v>1181.282611111111</v>
      </c>
      <c r="J36" s="66">
        <v>419.52</v>
      </c>
      <c r="K36" s="66">
        <v>1409.0319999999999</v>
      </c>
      <c r="L36" s="66">
        <v>232.55799999999994</v>
      </c>
      <c r="M36" s="66">
        <v>2061.1099999999997</v>
      </c>
      <c r="N36" s="66">
        <v>7.2789815347949602</v>
      </c>
      <c r="O36" s="66">
        <v>3.5315832414548285</v>
      </c>
      <c r="P36" s="66">
        <v>791</v>
      </c>
      <c r="Q36" s="66"/>
      <c r="R36" s="66">
        <v>1072.9166666666667</v>
      </c>
      <c r="S36" s="66">
        <v>1055.5555555555557</v>
      </c>
      <c r="T36" s="66">
        <v>726.1111111111112</v>
      </c>
      <c r="U36" s="66">
        <v>2.4365000000000001</v>
      </c>
    </row>
    <row r="37" spans="1:21" ht="15" customHeight="1" x14ac:dyDescent="0.2">
      <c r="A37" s="8" t="s">
        <v>294</v>
      </c>
      <c r="B37" s="21">
        <v>63205.913999999997</v>
      </c>
      <c r="C37" s="21">
        <v>370.94164019598486</v>
      </c>
      <c r="D37" s="61">
        <v>5.8651376061196965</v>
      </c>
      <c r="E37" s="32">
        <v>57287.611000000004</v>
      </c>
      <c r="F37" s="62">
        <v>1126.1016666666667</v>
      </c>
      <c r="G37" s="68">
        <v>1050.1125</v>
      </c>
      <c r="H37" s="62">
        <v>1260.1858333333332</v>
      </c>
      <c r="I37" s="65">
        <v>1199.7791666666665</v>
      </c>
      <c r="J37" s="65">
        <v>694.22500000000002</v>
      </c>
      <c r="K37" s="65">
        <v>1729.2380000000001</v>
      </c>
      <c r="L37" s="65">
        <v>225.29100000000005</v>
      </c>
      <c r="M37" s="65">
        <v>2648.7539999999999</v>
      </c>
      <c r="N37" s="65">
        <v>9.1598023597893086</v>
      </c>
      <c r="O37" s="65">
        <v>3.4604405846415509</v>
      </c>
      <c r="P37" s="65">
        <v>750</v>
      </c>
      <c r="Q37" s="65"/>
      <c r="R37" s="65">
        <v>947.875</v>
      </c>
      <c r="S37" s="65">
        <v>946.08333333333337</v>
      </c>
      <c r="T37" s="65">
        <v>599</v>
      </c>
      <c r="U37" s="65">
        <v>2.3809666666666662</v>
      </c>
    </row>
    <row r="38" spans="1:21" ht="15" customHeight="1" x14ac:dyDescent="0.2">
      <c r="A38" s="8" t="s">
        <v>295</v>
      </c>
      <c r="B38" s="21">
        <v>63602.75</v>
      </c>
      <c r="C38" s="21">
        <v>372.13004877851051</v>
      </c>
      <c r="D38" s="61">
        <v>5.8558650251633466</v>
      </c>
      <c r="E38" s="32">
        <v>63892.6535</v>
      </c>
      <c r="F38" s="62">
        <v>1040.6274999999998</v>
      </c>
      <c r="G38" s="68">
        <v>1026.8191666666669</v>
      </c>
      <c r="H38" s="62">
        <v>1234.8358333333333</v>
      </c>
      <c r="I38" s="65">
        <v>1153.5991666666666</v>
      </c>
      <c r="J38" s="65">
        <v>308.55</v>
      </c>
      <c r="K38" s="65">
        <v>1076.78</v>
      </c>
      <c r="L38" s="65">
        <v>232.03000000000006</v>
      </c>
      <c r="M38" s="65">
        <v>1617.3600000000001</v>
      </c>
      <c r="N38" s="65">
        <v>5.5677013875599766</v>
      </c>
      <c r="O38" s="65">
        <v>3.4608379909568576</v>
      </c>
      <c r="P38" s="65">
        <v>690</v>
      </c>
      <c r="Q38" s="65">
        <v>650</v>
      </c>
      <c r="R38" s="65">
        <v>1029.1666666666667</v>
      </c>
      <c r="S38" s="65">
        <v>1022.2222222222223</v>
      </c>
      <c r="T38" s="65">
        <v>592.33333333333337</v>
      </c>
      <c r="U38" s="65">
        <v>2.1600333333333332</v>
      </c>
    </row>
    <row r="39" spans="1:21" ht="15" customHeight="1" x14ac:dyDescent="0.2">
      <c r="A39" s="8" t="s">
        <v>360</v>
      </c>
      <c r="B39" s="21">
        <v>71518.235000000001</v>
      </c>
      <c r="C39" s="21">
        <v>419.97327522421313</v>
      </c>
      <c r="D39" s="61">
        <v>5.8723932742066687</v>
      </c>
      <c r="E39" s="32">
        <v>67301.65400000001</v>
      </c>
      <c r="F39" s="62">
        <v>1111.0031666666666</v>
      </c>
      <c r="G39" s="68">
        <v>1014.3875000000002</v>
      </c>
      <c r="H39" s="62">
        <v>1251.5609999999999</v>
      </c>
      <c r="I39" s="65">
        <v>1184.1734999999999</v>
      </c>
      <c r="J39" s="65">
        <v>621.49600000000009</v>
      </c>
      <c r="K39" s="68">
        <v>1685.8520000000001</v>
      </c>
      <c r="L39" s="65">
        <v>219.3280000000002</v>
      </c>
      <c r="M39" s="65">
        <v>2526.6760000000004</v>
      </c>
      <c r="N39" s="65">
        <v>9.130154692319449</v>
      </c>
      <c r="O39" s="65">
        <v>3.6261042700680424</v>
      </c>
      <c r="P39" s="65">
        <v>718.33333333333337</v>
      </c>
      <c r="Q39" s="65">
        <v>711</v>
      </c>
      <c r="R39" s="65">
        <v>1092.9166666666667</v>
      </c>
      <c r="S39" s="65">
        <v>1067.9166666666667</v>
      </c>
      <c r="T39" s="65">
        <v>605.19999999999993</v>
      </c>
      <c r="U39" s="65">
        <v>2.1626333333333334</v>
      </c>
    </row>
    <row r="40" spans="1:21" ht="15" customHeight="1" x14ac:dyDescent="0.2">
      <c r="A40" s="8" t="s">
        <v>361</v>
      </c>
      <c r="B40" s="21">
        <v>59113.97099999999</v>
      </c>
      <c r="C40" s="21">
        <v>344.13935272962681</v>
      </c>
      <c r="D40" s="61">
        <v>5.8259336774070576</v>
      </c>
      <c r="E40" s="32">
        <v>54358.942000000003</v>
      </c>
      <c r="F40" s="62">
        <v>1172.2416666666666</v>
      </c>
      <c r="G40" s="68">
        <v>1035.8325</v>
      </c>
      <c r="H40" s="62">
        <v>1266.3941666666667</v>
      </c>
      <c r="I40" s="65">
        <v>1208.3599999999999</v>
      </c>
      <c r="J40" s="65">
        <v>549.5</v>
      </c>
      <c r="K40" s="68">
        <v>1513.5080000000003</v>
      </c>
      <c r="L40" s="65">
        <v>150.27999999999992</v>
      </c>
      <c r="M40" s="65">
        <v>2213.288</v>
      </c>
      <c r="N40" s="65">
        <v>7.3435208511424381</v>
      </c>
      <c r="O40" s="65">
        <v>3.3268952952694626</v>
      </c>
      <c r="P40" s="65">
        <v>700</v>
      </c>
      <c r="Q40" s="65">
        <v>650</v>
      </c>
      <c r="R40" s="65">
        <v>1008.3333333333334</v>
      </c>
      <c r="S40" s="65">
        <v>1005</v>
      </c>
      <c r="T40" s="65">
        <v>593.75</v>
      </c>
      <c r="U40" s="65">
        <v>2.0319333333333334</v>
      </c>
    </row>
    <row r="41" spans="1:21" ht="15" customHeight="1" x14ac:dyDescent="0.2">
      <c r="A41" s="9" t="s">
        <v>383</v>
      </c>
      <c r="B41" s="36">
        <v>60361.332999999999</v>
      </c>
      <c r="C41" s="36">
        <v>351.56511379190027</v>
      </c>
      <c r="D41" s="58">
        <v>5.8243431070665759</v>
      </c>
      <c r="E41" s="41">
        <v>55466.956999999995</v>
      </c>
      <c r="F41" s="59">
        <v>1150.2033333333331</v>
      </c>
      <c r="G41" s="67">
        <v>975.04916666666668</v>
      </c>
      <c r="H41" s="59">
        <v>1210.2375</v>
      </c>
      <c r="I41" s="66">
        <v>1161.7283333333335</v>
      </c>
      <c r="J41" s="66">
        <v>860.18100000000004</v>
      </c>
      <c r="K41" s="66">
        <v>1666.3620000000001</v>
      </c>
      <c r="L41" s="66">
        <v>207.26800000000003</v>
      </c>
      <c r="M41" s="66">
        <v>2733.8110000000001</v>
      </c>
      <c r="N41" s="66">
        <v>8.5905896792693248</v>
      </c>
      <c r="O41" s="66">
        <v>3.1423495184083046</v>
      </c>
      <c r="P41" s="66">
        <v>700</v>
      </c>
      <c r="Q41" s="66"/>
      <c r="R41" s="66">
        <v>1000</v>
      </c>
      <c r="S41" s="66">
        <v>1000</v>
      </c>
      <c r="T41" s="66">
        <v>607.16666666666663</v>
      </c>
      <c r="U41" s="66">
        <v>2.2633333333333336</v>
      </c>
    </row>
    <row r="42" spans="1:21" ht="15" customHeight="1" x14ac:dyDescent="0.2">
      <c r="A42" s="8"/>
      <c r="B42" s="21"/>
      <c r="C42" s="21"/>
      <c r="D42" s="22"/>
      <c r="E42" s="70"/>
      <c r="F42" s="69"/>
      <c r="G42" s="70"/>
      <c r="H42" s="69"/>
      <c r="I42" s="71"/>
      <c r="J42" s="69"/>
      <c r="K42" s="70"/>
      <c r="L42" s="69"/>
      <c r="M42" s="71"/>
      <c r="N42" s="71"/>
      <c r="O42" s="71"/>
      <c r="P42" s="71"/>
      <c r="Q42" s="71"/>
      <c r="R42" s="71"/>
      <c r="S42" s="71"/>
      <c r="T42" s="71"/>
      <c r="U42" s="71"/>
    </row>
    <row r="43" spans="1:21" ht="15" customHeight="1" x14ac:dyDescent="0.2">
      <c r="A43" s="10">
        <v>43831</v>
      </c>
      <c r="B43" s="36">
        <v>22094.444999999996</v>
      </c>
      <c r="C43" s="36">
        <v>99.734888425588025</v>
      </c>
      <c r="D43" s="58">
        <v>4.5140255130005773</v>
      </c>
      <c r="E43" s="72">
        <v>24819.398000000001</v>
      </c>
      <c r="F43" s="58">
        <v>538.67999999999995</v>
      </c>
      <c r="G43" s="73">
        <v>491.00749999999999</v>
      </c>
      <c r="H43" s="58">
        <v>628.4</v>
      </c>
      <c r="I43" s="74">
        <v>589.82500000000005</v>
      </c>
      <c r="J43" s="74">
        <v>277.39000000000004</v>
      </c>
      <c r="K43" s="74">
        <v>826.74300000000005</v>
      </c>
      <c r="L43" s="74">
        <v>256.52</v>
      </c>
      <c r="M43" s="74">
        <v>1360.653</v>
      </c>
      <c r="N43" s="74">
        <v>2.7048652893327363</v>
      </c>
      <c r="O43" s="74">
        <v>1.9879170437523277</v>
      </c>
      <c r="P43" s="74">
        <v>326.45833333333331</v>
      </c>
      <c r="Q43" s="74">
        <v>319</v>
      </c>
      <c r="R43" s="74">
        <v>351.42857142857144</v>
      </c>
      <c r="S43" s="74">
        <v>348.66666666666669</v>
      </c>
      <c r="T43" s="74">
        <v>255.71428571428572</v>
      </c>
      <c r="U43" s="74">
        <v>1.6834</v>
      </c>
    </row>
    <row r="44" spans="1:21" ht="15" customHeight="1" x14ac:dyDescent="0.2">
      <c r="A44" s="10">
        <v>43862</v>
      </c>
      <c r="B44" s="36">
        <v>23657.005000000001</v>
      </c>
      <c r="C44" s="36">
        <v>107.80424173343877</v>
      </c>
      <c r="D44" s="58">
        <v>4.5569691401527272</v>
      </c>
      <c r="E44" s="72">
        <v>21586.4712</v>
      </c>
      <c r="F44" s="58">
        <v>575.245</v>
      </c>
      <c r="G44" s="73">
        <v>534.08999999999992</v>
      </c>
      <c r="H44" s="58">
        <v>631.255</v>
      </c>
      <c r="I44" s="74">
        <v>604.53500000000008</v>
      </c>
      <c r="J44" s="74">
        <v>386.73</v>
      </c>
      <c r="K44" s="74">
        <v>850.36500000000001</v>
      </c>
      <c r="L44" s="74">
        <v>396.49200000000019</v>
      </c>
      <c r="M44" s="74">
        <v>1633.5870000000002</v>
      </c>
      <c r="N44" s="74">
        <v>3.1302263238945418</v>
      </c>
      <c r="O44" s="74">
        <v>1.9161675037169992</v>
      </c>
      <c r="P44" s="74">
        <v>301.25</v>
      </c>
      <c r="Q44" s="74"/>
      <c r="R44" s="74">
        <v>351</v>
      </c>
      <c r="S44" s="74">
        <v>349.08333333333331</v>
      </c>
      <c r="T44" s="74">
        <v>247.27142857142857</v>
      </c>
      <c r="U44" s="74">
        <v>1.6126</v>
      </c>
    </row>
    <row r="45" spans="1:21" ht="15" customHeight="1" x14ac:dyDescent="0.2">
      <c r="A45" s="10">
        <v>43891</v>
      </c>
      <c r="B45" s="36">
        <v>13827.940000000002</v>
      </c>
      <c r="C45" s="36">
        <v>62.523204979879139</v>
      </c>
      <c r="D45" s="58">
        <v>4.5215126027361361</v>
      </c>
      <c r="E45" s="72">
        <v>14220.297</v>
      </c>
      <c r="F45" s="58">
        <v>566.66999999999996</v>
      </c>
      <c r="G45" s="73">
        <v>535.7833333333333</v>
      </c>
      <c r="H45" s="58">
        <v>627.4899999999999</v>
      </c>
      <c r="I45" s="74">
        <v>597.96333333333337</v>
      </c>
      <c r="J45" s="74">
        <v>189.82</v>
      </c>
      <c r="K45" s="74">
        <v>333.78699999999998</v>
      </c>
      <c r="L45" s="74">
        <v>201.04799999999989</v>
      </c>
      <c r="M45" s="74">
        <v>724.65499999999986</v>
      </c>
      <c r="N45" s="74">
        <v>1.3552464839154703</v>
      </c>
      <c r="O45" s="74">
        <v>1.8701954501320912</v>
      </c>
      <c r="P45" s="74">
        <v>300</v>
      </c>
      <c r="Q45" s="74"/>
      <c r="R45" s="74">
        <v>351.75</v>
      </c>
      <c r="S45" s="74">
        <v>354.63333333333338</v>
      </c>
      <c r="T45" s="74">
        <v>242</v>
      </c>
      <c r="U45" s="74">
        <v>1.4985999999999999</v>
      </c>
    </row>
    <row r="46" spans="1:21" ht="15" customHeight="1" x14ac:dyDescent="0.2">
      <c r="A46" s="10">
        <v>43922</v>
      </c>
      <c r="B46" s="36">
        <v>18157.883000000002</v>
      </c>
      <c r="C46" s="36">
        <v>78.374068899046733</v>
      </c>
      <c r="D46" s="58">
        <v>4.3162558597302736</v>
      </c>
      <c r="E46" s="72">
        <v>19106.887500000001</v>
      </c>
      <c r="F46" s="58">
        <v>651.48400000000004</v>
      </c>
      <c r="G46" s="73">
        <v>618.29</v>
      </c>
      <c r="H46" s="58">
        <v>742.8</v>
      </c>
      <c r="I46" s="74">
        <v>697.18399999999997</v>
      </c>
      <c r="J46" s="74">
        <v>40.32</v>
      </c>
      <c r="K46" s="74">
        <v>482.71500000000003</v>
      </c>
      <c r="L46" s="74">
        <v>182.27499999999998</v>
      </c>
      <c r="M46" s="74">
        <v>705.31000000000006</v>
      </c>
      <c r="N46" s="74">
        <v>1.5720759052730033</v>
      </c>
      <c r="O46" s="74">
        <v>2.2289148108959229</v>
      </c>
      <c r="P46" s="74"/>
      <c r="Q46" s="74"/>
      <c r="R46" s="74">
        <v>330.66666666666669</v>
      </c>
      <c r="S46" s="74">
        <v>333</v>
      </c>
      <c r="T46" s="74">
        <v>201</v>
      </c>
      <c r="U46" s="74">
        <v>1.3342000000000001</v>
      </c>
    </row>
    <row r="47" spans="1:21" ht="15" customHeight="1" x14ac:dyDescent="0.2">
      <c r="A47" s="10">
        <v>43952</v>
      </c>
      <c r="B47" s="36">
        <v>22663.265000000003</v>
      </c>
      <c r="C47" s="36">
        <v>108.29071099992014</v>
      </c>
      <c r="D47" s="58">
        <v>4.7782484562537713</v>
      </c>
      <c r="E47" s="72">
        <v>17030.772000000001</v>
      </c>
      <c r="F47" s="58">
        <v>653.51</v>
      </c>
      <c r="G47" s="73">
        <v>597.80000000000007</v>
      </c>
      <c r="H47" s="58">
        <v>754.3599999999999</v>
      </c>
      <c r="I47" s="74">
        <v>705</v>
      </c>
      <c r="J47" s="74">
        <v>215</v>
      </c>
      <c r="K47" s="74">
        <v>502.35600000000005</v>
      </c>
      <c r="L47" s="74">
        <v>230.42200000000003</v>
      </c>
      <c r="M47" s="74">
        <v>947.77800000000002</v>
      </c>
      <c r="N47" s="74">
        <v>1.8104942165917015</v>
      </c>
      <c r="O47" s="74">
        <v>1.9102513632851801</v>
      </c>
      <c r="P47" s="74"/>
      <c r="Q47" s="74"/>
      <c r="R47" s="74">
        <v>330</v>
      </c>
      <c r="S47" s="74">
        <v>320.5</v>
      </c>
      <c r="T47" s="74">
        <v>191.16666666666666</v>
      </c>
      <c r="U47" s="74">
        <v>1.3468</v>
      </c>
    </row>
    <row r="48" spans="1:21" ht="15" customHeight="1" x14ac:dyDescent="0.2">
      <c r="A48" s="10">
        <v>43983</v>
      </c>
      <c r="B48" s="36">
        <v>23686.372000000003</v>
      </c>
      <c r="C48" s="36">
        <v>114.93118634397123</v>
      </c>
      <c r="D48" s="58">
        <v>4.852207266860928</v>
      </c>
      <c r="E48" s="72">
        <v>28554.526999999998</v>
      </c>
      <c r="F48" s="58">
        <v>571.12000000000012</v>
      </c>
      <c r="G48" s="73">
        <v>544.62599999999998</v>
      </c>
      <c r="H48" s="58">
        <v>657.77800000000002</v>
      </c>
      <c r="I48" s="74">
        <v>615.69399999999996</v>
      </c>
      <c r="J48" s="74">
        <v>432</v>
      </c>
      <c r="K48" s="74">
        <v>834.03700000000003</v>
      </c>
      <c r="L48" s="74">
        <v>266.92999999999984</v>
      </c>
      <c r="M48" s="74">
        <v>1532.9669999999999</v>
      </c>
      <c r="N48" s="74">
        <v>2.887742711254635</v>
      </c>
      <c r="O48" s="74">
        <v>1.8837605188204543</v>
      </c>
      <c r="P48" s="74"/>
      <c r="Q48" s="74"/>
      <c r="R48" s="74">
        <v>300</v>
      </c>
      <c r="S48" s="74">
        <v>297</v>
      </c>
      <c r="T48" s="74">
        <v>193.5</v>
      </c>
      <c r="U48" s="74">
        <v>1.4009</v>
      </c>
    </row>
    <row r="49" spans="1:21" ht="15" customHeight="1" x14ac:dyDescent="0.2">
      <c r="A49" s="10">
        <v>44013</v>
      </c>
      <c r="B49" s="36">
        <v>28044.796999999999</v>
      </c>
      <c r="C49" s="36">
        <v>130.93066669823355</v>
      </c>
      <c r="D49" s="58">
        <v>4.668625937931858</v>
      </c>
      <c r="E49" s="72">
        <v>35844.957000000002</v>
      </c>
      <c r="F49" s="58">
        <v>532.51749999999993</v>
      </c>
      <c r="G49" s="73">
        <v>522.21500000000003</v>
      </c>
      <c r="H49" s="58">
        <v>670.03</v>
      </c>
      <c r="I49" s="74">
        <v>613.8275000000001</v>
      </c>
      <c r="J49" s="74">
        <v>670.72</v>
      </c>
      <c r="K49" s="74">
        <v>601.98399999999992</v>
      </c>
      <c r="L49" s="74">
        <v>500.76400000000012</v>
      </c>
      <c r="M49" s="74">
        <v>1773.4680000000001</v>
      </c>
      <c r="N49" s="74">
        <v>2.895718022240672</v>
      </c>
      <c r="O49" s="74">
        <v>1.6327997021884082</v>
      </c>
      <c r="P49" s="74"/>
      <c r="Q49" s="74">
        <v>270</v>
      </c>
      <c r="R49" s="74">
        <v>298</v>
      </c>
      <c r="S49" s="74">
        <v>293</v>
      </c>
      <c r="T49" s="74">
        <v>218.6</v>
      </c>
      <c r="U49" s="74">
        <v>1.4838</v>
      </c>
    </row>
    <row r="50" spans="1:21" ht="15" customHeight="1" x14ac:dyDescent="0.2">
      <c r="A50" s="10">
        <v>44044</v>
      </c>
      <c r="B50" s="36">
        <v>22011.088</v>
      </c>
      <c r="C50" s="36">
        <v>102.97500576817299</v>
      </c>
      <c r="D50" s="58">
        <v>4.6783242049721938</v>
      </c>
      <c r="E50" s="72">
        <v>21371.15</v>
      </c>
      <c r="F50" s="58">
        <v>542.35750000000007</v>
      </c>
      <c r="G50" s="73">
        <v>541.91999999999996</v>
      </c>
      <c r="H50" s="58">
        <v>667.79500000000007</v>
      </c>
      <c r="I50" s="74">
        <v>622.39750000000004</v>
      </c>
      <c r="J50" s="74">
        <v>207.3</v>
      </c>
      <c r="K50" s="74">
        <v>353.21100000000001</v>
      </c>
      <c r="L50" s="74">
        <v>285.69000000000005</v>
      </c>
      <c r="M50" s="74">
        <v>846.20100000000002</v>
      </c>
      <c r="N50" s="74">
        <v>1.4996588908557826</v>
      </c>
      <c r="O50" s="74">
        <v>1.77222538245143</v>
      </c>
      <c r="P50" s="74"/>
      <c r="Q50" s="74">
        <v>292.5</v>
      </c>
      <c r="R50" s="74">
        <v>332</v>
      </c>
      <c r="S50" s="74">
        <v>331.125</v>
      </c>
      <c r="T50" s="74">
        <v>259.75</v>
      </c>
      <c r="U50" s="74">
        <v>1.7032</v>
      </c>
    </row>
    <row r="51" spans="1:21" ht="15" customHeight="1" x14ac:dyDescent="0.2">
      <c r="A51" s="10">
        <v>44075</v>
      </c>
      <c r="B51" s="36">
        <v>24153.155000000002</v>
      </c>
      <c r="C51" s="36">
        <v>113.99294294437115</v>
      </c>
      <c r="D51" s="58">
        <v>4.7195881011971785</v>
      </c>
      <c r="E51" s="72">
        <v>25937.919999999998</v>
      </c>
      <c r="F51" s="58">
        <v>564.25800000000004</v>
      </c>
      <c r="G51" s="73">
        <v>535.86399999999992</v>
      </c>
      <c r="H51" s="58">
        <v>664.726</v>
      </c>
      <c r="I51" s="74">
        <v>624.28800000000001</v>
      </c>
      <c r="J51" s="74">
        <v>199.32</v>
      </c>
      <c r="K51" s="74">
        <v>587.03300000000002</v>
      </c>
      <c r="L51" s="74">
        <v>343.60699999999974</v>
      </c>
      <c r="M51" s="74">
        <v>1129.9599999999998</v>
      </c>
      <c r="N51" s="74">
        <v>2.0634169496361974</v>
      </c>
      <c r="O51" s="74">
        <v>1.8260973394068796</v>
      </c>
      <c r="P51" s="74">
        <v>323</v>
      </c>
      <c r="Q51" s="74"/>
      <c r="R51" s="74">
        <v>355</v>
      </c>
      <c r="S51" s="74">
        <v>354.5</v>
      </c>
      <c r="T51" s="74">
        <v>291</v>
      </c>
      <c r="U51" s="74">
        <v>1.8575999999999999</v>
      </c>
    </row>
    <row r="52" spans="1:21" ht="15" customHeight="1" x14ac:dyDescent="0.2">
      <c r="A52" s="10">
        <v>44105</v>
      </c>
      <c r="B52" s="36">
        <v>23119.423000000003</v>
      </c>
      <c r="C52" s="36">
        <v>112.21815613819068</v>
      </c>
      <c r="D52" s="58">
        <v>4.853847612814155</v>
      </c>
      <c r="E52" s="72">
        <v>19841.532999999999</v>
      </c>
      <c r="F52" s="58">
        <v>610.47249999999985</v>
      </c>
      <c r="G52" s="73">
        <v>568.45499999999993</v>
      </c>
      <c r="H52" s="58">
        <v>679.65250000000003</v>
      </c>
      <c r="I52" s="74">
        <v>647.80999999999995</v>
      </c>
      <c r="J52" s="74">
        <v>340.96</v>
      </c>
      <c r="K52" s="74">
        <v>410.18700000000001</v>
      </c>
      <c r="L52" s="74">
        <v>519.42400000000021</v>
      </c>
      <c r="M52" s="74">
        <v>1270.5710000000001</v>
      </c>
      <c r="N52" s="74">
        <v>2.3909775431188489</v>
      </c>
      <c r="O52" s="74">
        <v>1.8818134076087434</v>
      </c>
      <c r="P52" s="74">
        <v>362.66666666666669</v>
      </c>
      <c r="Q52" s="74">
        <v>330</v>
      </c>
      <c r="R52" s="74">
        <v>399.25</v>
      </c>
      <c r="S52" s="74">
        <v>385.6</v>
      </c>
      <c r="T52" s="74">
        <v>283.5</v>
      </c>
      <c r="U52" s="74">
        <v>2.1865000000000001</v>
      </c>
    </row>
    <row r="53" spans="1:21" ht="15" customHeight="1" x14ac:dyDescent="0.2">
      <c r="A53" s="10">
        <v>44136</v>
      </c>
      <c r="B53" s="36">
        <v>20223.527999999998</v>
      </c>
      <c r="C53" s="36">
        <v>96.200234879716348</v>
      </c>
      <c r="D53" s="58">
        <v>4.7568473156472182</v>
      </c>
      <c r="E53" s="72">
        <v>20709.405999999999</v>
      </c>
      <c r="F53" s="58">
        <v>631.53250000000003</v>
      </c>
      <c r="G53" s="73">
        <v>568.51</v>
      </c>
      <c r="H53" s="58">
        <v>664.73250000000007</v>
      </c>
      <c r="I53" s="74">
        <v>642.80250000000001</v>
      </c>
      <c r="J53" s="74">
        <v>591.91000000000008</v>
      </c>
      <c r="K53" s="74">
        <v>472.44900000000001</v>
      </c>
      <c r="L53" s="74">
        <v>607.18100000000004</v>
      </c>
      <c r="M53" s="74">
        <v>1671.5400000000002</v>
      </c>
      <c r="N53" s="74">
        <v>3.1871259420244362</v>
      </c>
      <c r="O53" s="74">
        <v>1.9067003733230647</v>
      </c>
      <c r="P53" s="74">
        <v>406.875</v>
      </c>
      <c r="Q53" s="74">
        <v>417</v>
      </c>
      <c r="R53" s="74">
        <v>447.16666666666669</v>
      </c>
      <c r="S53" s="74">
        <v>445.33333333333331</v>
      </c>
      <c r="T53" s="74">
        <v>336.33333333333331</v>
      </c>
      <c r="U53" s="74">
        <v>2.3016999999999999</v>
      </c>
    </row>
    <row r="54" spans="1:21" ht="15" customHeight="1" x14ac:dyDescent="0.2">
      <c r="A54" s="10">
        <v>44166</v>
      </c>
      <c r="B54" s="36">
        <v>23930.635999999999</v>
      </c>
      <c r="C54" s="36">
        <v>112.97108879476789</v>
      </c>
      <c r="D54" s="58">
        <v>4.7207725191577818</v>
      </c>
      <c r="E54" s="72">
        <v>21254.714</v>
      </c>
      <c r="F54" s="58">
        <v>643.59500000000003</v>
      </c>
      <c r="G54" s="73">
        <v>583.97500000000014</v>
      </c>
      <c r="H54" s="58">
        <v>662.09499999999991</v>
      </c>
      <c r="I54" s="74">
        <v>644.875</v>
      </c>
      <c r="J54" s="74">
        <v>766.98</v>
      </c>
      <c r="K54" s="74">
        <v>761.20900000000006</v>
      </c>
      <c r="L54" s="74">
        <v>641.00800000000004</v>
      </c>
      <c r="M54" s="74">
        <v>2169.1970000000001</v>
      </c>
      <c r="N54" s="74">
        <v>4.5994017326433809</v>
      </c>
      <c r="O54" s="74">
        <v>2.1203245867679978</v>
      </c>
      <c r="P54" s="74">
        <v>440</v>
      </c>
      <c r="Q54" s="74"/>
      <c r="R54" s="74">
        <v>462.16666666666669</v>
      </c>
      <c r="S54" s="74">
        <v>458.33333333333331</v>
      </c>
      <c r="T54" s="74">
        <v>360</v>
      </c>
      <c r="U54" s="74">
        <v>2.327</v>
      </c>
    </row>
    <row r="55" spans="1:21" ht="15" customHeight="1" x14ac:dyDescent="0.2">
      <c r="A55" s="11">
        <v>44197</v>
      </c>
      <c r="B55" s="21">
        <v>20820.037</v>
      </c>
      <c r="C55" s="21">
        <v>100.9885136630553</v>
      </c>
      <c r="D55" s="61">
        <v>4.8505443896692064</v>
      </c>
      <c r="E55" s="75">
        <v>25418.374</v>
      </c>
      <c r="F55" s="61">
        <v>615.64249999999993</v>
      </c>
      <c r="G55" s="63">
        <v>585.48250000000007</v>
      </c>
      <c r="H55" s="61">
        <v>672.72500000000002</v>
      </c>
      <c r="I55" s="64">
        <v>646.40750000000003</v>
      </c>
      <c r="J55" s="64">
        <v>259.90000000000003</v>
      </c>
      <c r="K55" s="64">
        <v>822.62300000000005</v>
      </c>
      <c r="L55" s="64">
        <v>639.42999999999984</v>
      </c>
      <c r="M55" s="64">
        <v>1721.953</v>
      </c>
      <c r="N55" s="64">
        <v>3.9330382305170088</v>
      </c>
      <c r="O55" s="64">
        <v>2.2840566673521336</v>
      </c>
      <c r="P55" s="64">
        <v>458.5</v>
      </c>
      <c r="Q55" s="64">
        <v>444</v>
      </c>
      <c r="R55" s="64">
        <v>496.47500000000002</v>
      </c>
      <c r="S55" s="64">
        <v>495.5</v>
      </c>
      <c r="T55" s="64">
        <v>364</v>
      </c>
      <c r="U55" s="64">
        <v>2.2972999999999999</v>
      </c>
    </row>
    <row r="56" spans="1:21" ht="15" customHeight="1" x14ac:dyDescent="0.2">
      <c r="A56" s="11">
        <v>44228</v>
      </c>
      <c r="B56" s="21">
        <v>23252.138999999999</v>
      </c>
      <c r="C56" s="21">
        <v>112.53331304990814</v>
      </c>
      <c r="D56" s="61">
        <v>4.8396972446237374</v>
      </c>
      <c r="E56" s="75">
        <v>23363.348000000002</v>
      </c>
      <c r="F56" s="61">
        <v>614.62250000000006</v>
      </c>
      <c r="G56" s="63">
        <v>579.61750000000006</v>
      </c>
      <c r="H56" s="61">
        <v>676.36500000000001</v>
      </c>
      <c r="I56" s="64">
        <v>649.07999999999993</v>
      </c>
      <c r="J56" s="64">
        <v>314.96000000000004</v>
      </c>
      <c r="K56" s="64">
        <v>564.46100000000001</v>
      </c>
      <c r="L56" s="64">
        <v>259.37299999999982</v>
      </c>
      <c r="M56" s="64">
        <v>1138.7939999999999</v>
      </c>
      <c r="N56" s="64">
        <v>2.7268168488636633</v>
      </c>
      <c r="O56" s="64">
        <v>2.394477709632878</v>
      </c>
      <c r="P56" s="64">
        <v>444.33333333333331</v>
      </c>
      <c r="Q56" s="64">
        <v>426</v>
      </c>
      <c r="R56" s="64">
        <v>602.25</v>
      </c>
      <c r="S56" s="64">
        <v>597.25</v>
      </c>
      <c r="T56" s="64">
        <v>366.66666666666669</v>
      </c>
      <c r="U56" s="64">
        <v>2.3460999999999999</v>
      </c>
    </row>
    <row r="57" spans="1:21" ht="15" customHeight="1" x14ac:dyDescent="0.2">
      <c r="A57" s="11">
        <v>44256</v>
      </c>
      <c r="B57" s="21">
        <v>25814.895</v>
      </c>
      <c r="C57" s="21">
        <v>124.60580429733606</v>
      </c>
      <c r="D57" s="61">
        <v>4.826895646770442</v>
      </c>
      <c r="E57" s="75">
        <v>26801.415000000001</v>
      </c>
      <c r="F57" s="61">
        <v>631.98800000000006</v>
      </c>
      <c r="G57" s="63">
        <v>599.32799999999997</v>
      </c>
      <c r="H57" s="61">
        <v>679.33</v>
      </c>
      <c r="I57" s="64">
        <v>657.15</v>
      </c>
      <c r="J57" s="64">
        <v>480.07</v>
      </c>
      <c r="K57" s="64">
        <v>1041.806</v>
      </c>
      <c r="L57" s="64">
        <v>784.13999999999965</v>
      </c>
      <c r="M57" s="64">
        <v>2306.0159999999996</v>
      </c>
      <c r="N57" s="64">
        <v>5.5427489599329895</v>
      </c>
      <c r="O57" s="64">
        <v>2.403603860481883</v>
      </c>
      <c r="P57" s="64">
        <v>426.5</v>
      </c>
      <c r="Q57" s="64">
        <v>420</v>
      </c>
      <c r="R57" s="64">
        <v>510</v>
      </c>
      <c r="S57" s="64">
        <v>505</v>
      </c>
      <c r="T57" s="64">
        <v>381.66666666666669</v>
      </c>
      <c r="U57" s="64">
        <v>2.3690000000000002</v>
      </c>
    </row>
    <row r="58" spans="1:21" ht="15" customHeight="1" x14ac:dyDescent="0.2">
      <c r="A58" s="11">
        <v>44287</v>
      </c>
      <c r="B58" s="21">
        <v>16313.621000000001</v>
      </c>
      <c r="C58" s="21">
        <v>79.256009932986544</v>
      </c>
      <c r="D58" s="61">
        <v>4.8582721109547986</v>
      </c>
      <c r="E58" s="75">
        <v>18117.11</v>
      </c>
      <c r="F58" s="61">
        <v>619.85</v>
      </c>
      <c r="G58" s="63">
        <v>565.00333333333322</v>
      </c>
      <c r="H58" s="61">
        <v>650.53000000000009</v>
      </c>
      <c r="I58" s="64">
        <v>628.90666666666664</v>
      </c>
      <c r="J58" s="64">
        <v>152.32000000000002</v>
      </c>
      <c r="K58" s="64">
        <v>623.85699999999997</v>
      </c>
      <c r="L58" s="64">
        <v>431.93999999999994</v>
      </c>
      <c r="M58" s="64">
        <v>1208.117</v>
      </c>
      <c r="N58" s="64">
        <v>3.18621449881726</v>
      </c>
      <c r="O58" s="64">
        <v>2.6373393461206653</v>
      </c>
      <c r="P58" s="64">
        <v>428</v>
      </c>
      <c r="Q58" s="64">
        <v>420</v>
      </c>
      <c r="R58" s="64">
        <v>545</v>
      </c>
      <c r="S58" s="64">
        <v>542.66666666666663</v>
      </c>
      <c r="T58" s="64">
        <v>396.66666666666669</v>
      </c>
      <c r="U58" s="64">
        <v>2.1535000000000002</v>
      </c>
    </row>
    <row r="59" spans="1:21" ht="15" customHeight="1" x14ac:dyDescent="0.2">
      <c r="A59" s="11">
        <v>44317</v>
      </c>
      <c r="B59" s="21">
        <v>23788.245000000003</v>
      </c>
      <c r="C59" s="21">
        <v>109.23315818296693</v>
      </c>
      <c r="D59" s="61">
        <v>4.591896467476559</v>
      </c>
      <c r="E59" s="75">
        <v>25478.120999999999</v>
      </c>
      <c r="F59" s="61">
        <v>577.11249999999995</v>
      </c>
      <c r="G59" s="63">
        <v>548.33249999999998</v>
      </c>
      <c r="H59" s="61">
        <v>643.36249999999995</v>
      </c>
      <c r="I59" s="64">
        <v>611.06500000000005</v>
      </c>
      <c r="J59" s="64">
        <v>211.14</v>
      </c>
      <c r="K59" s="64">
        <v>431.93799999999999</v>
      </c>
      <c r="L59" s="64">
        <v>110.92200000000014</v>
      </c>
      <c r="M59" s="64">
        <v>754.00000000000011</v>
      </c>
      <c r="N59" s="64">
        <v>2.2521983849463409</v>
      </c>
      <c r="O59" s="64">
        <v>2.9870005105389135</v>
      </c>
      <c r="P59" s="64">
        <v>453.5</v>
      </c>
      <c r="Q59" s="64">
        <v>448.33333333333331</v>
      </c>
      <c r="R59" s="64">
        <v>628.33333333333337</v>
      </c>
      <c r="S59" s="64">
        <v>617.66666666666663</v>
      </c>
      <c r="T59" s="64">
        <v>425</v>
      </c>
      <c r="U59" s="64">
        <v>2.2902999999999998</v>
      </c>
    </row>
    <row r="60" spans="1:21" ht="15" customHeight="1" x14ac:dyDescent="0.2">
      <c r="A60" s="11">
        <v>44348</v>
      </c>
      <c r="B60" s="21">
        <v>26993.871999999996</v>
      </c>
      <c r="C60" s="21">
        <v>123.91445838948913</v>
      </c>
      <c r="D60" s="61">
        <v>4.5904662506175162</v>
      </c>
      <c r="E60" s="75">
        <v>31380.903999999999</v>
      </c>
      <c r="F60" s="61">
        <v>546.63600000000008</v>
      </c>
      <c r="G60" s="63">
        <v>518.86599999999999</v>
      </c>
      <c r="H60" s="61">
        <v>622.29600000000005</v>
      </c>
      <c r="I60" s="64">
        <v>585.61399999999992</v>
      </c>
      <c r="J60" s="64">
        <v>80.449999999999989</v>
      </c>
      <c r="K60" s="64">
        <v>541.13599999999997</v>
      </c>
      <c r="L60" s="64">
        <v>282.10200000000009</v>
      </c>
      <c r="M60" s="64">
        <v>903.6880000000001</v>
      </c>
      <c r="N60" s="64">
        <v>2.6428400213996772</v>
      </c>
      <c r="O60" s="64">
        <v>2.9245049413068194</v>
      </c>
      <c r="P60" s="64">
        <v>467</v>
      </c>
      <c r="Q60" s="64"/>
      <c r="R60" s="64">
        <v>629.5</v>
      </c>
      <c r="S60" s="64">
        <v>624.75</v>
      </c>
      <c r="T60" s="64">
        <v>438.5</v>
      </c>
      <c r="U60" s="64">
        <v>2.1217999999999999</v>
      </c>
    </row>
    <row r="61" spans="1:21" ht="15" customHeight="1" x14ac:dyDescent="0.2">
      <c r="A61" s="11">
        <v>44378</v>
      </c>
      <c r="B61" s="21">
        <v>25541.936000000002</v>
      </c>
      <c r="C61" s="21">
        <v>115.12412951837655</v>
      </c>
      <c r="D61" s="61">
        <v>4.5072593368950793</v>
      </c>
      <c r="E61" s="75">
        <v>23423.217000000001</v>
      </c>
      <c r="F61" s="61">
        <v>546.39750000000004</v>
      </c>
      <c r="G61" s="63">
        <v>520.14499999999998</v>
      </c>
      <c r="H61" s="61">
        <v>628.23249999999996</v>
      </c>
      <c r="I61" s="64">
        <v>591.09249999999997</v>
      </c>
      <c r="J61" s="64">
        <v>165.24</v>
      </c>
      <c r="K61" s="64">
        <v>725.36</v>
      </c>
      <c r="L61" s="64">
        <v>182.88800000000003</v>
      </c>
      <c r="M61" s="64">
        <v>1073.4880000000001</v>
      </c>
      <c r="N61" s="64">
        <v>3.2506852610639778</v>
      </c>
      <c r="O61" s="64">
        <v>3.0281523976644151</v>
      </c>
      <c r="P61" s="64">
        <v>454.5</v>
      </c>
      <c r="Q61" s="64">
        <v>450</v>
      </c>
      <c r="R61" s="64">
        <v>640</v>
      </c>
      <c r="S61" s="64">
        <v>636.5</v>
      </c>
      <c r="T61" s="64">
        <v>412.625</v>
      </c>
      <c r="U61" s="64">
        <v>1.867</v>
      </c>
    </row>
    <row r="62" spans="1:21" ht="15" customHeight="1" x14ac:dyDescent="0.2">
      <c r="A62" s="11">
        <v>44409</v>
      </c>
      <c r="B62" s="21">
        <v>25691.179999999997</v>
      </c>
      <c r="C62" s="21">
        <v>116.79015741421919</v>
      </c>
      <c r="D62" s="61">
        <v>4.5459242204608428</v>
      </c>
      <c r="E62" s="75">
        <v>27637.162</v>
      </c>
      <c r="F62" s="61">
        <v>559.11399999999992</v>
      </c>
      <c r="G62" s="63">
        <v>521.82399999999996</v>
      </c>
      <c r="H62" s="61">
        <v>623.01800000000003</v>
      </c>
      <c r="I62" s="64">
        <v>592.27600000000007</v>
      </c>
      <c r="J62" s="64">
        <v>593.30000000000007</v>
      </c>
      <c r="K62" s="64">
        <v>592.19900000000007</v>
      </c>
      <c r="L62" s="64">
        <v>219.24499999999966</v>
      </c>
      <c r="M62" s="64">
        <v>1404.7439999999999</v>
      </c>
      <c r="N62" s="64">
        <v>3.7354056355098466</v>
      </c>
      <c r="O62" s="64">
        <v>2.6591362095227651</v>
      </c>
      <c r="P62" s="64">
        <v>456.5</v>
      </c>
      <c r="Q62" s="64">
        <v>443.5</v>
      </c>
      <c r="R62" s="64">
        <v>665</v>
      </c>
      <c r="S62" s="64">
        <v>662</v>
      </c>
      <c r="T62" s="64">
        <v>412.75</v>
      </c>
      <c r="U62" s="64">
        <v>1.9004000000000001</v>
      </c>
    </row>
    <row r="63" spans="1:21" ht="15" customHeight="1" x14ac:dyDescent="0.2">
      <c r="A63" s="11">
        <v>44440</v>
      </c>
      <c r="B63" s="21">
        <v>23423.506000000001</v>
      </c>
      <c r="C63" s="21">
        <v>104.11931282298063</v>
      </c>
      <c r="D63" s="61">
        <v>4.4450780691404876</v>
      </c>
      <c r="E63" s="75">
        <v>21015.226999999999</v>
      </c>
      <c r="F63" s="61">
        <v>564.54750000000001</v>
      </c>
      <c r="G63" s="63">
        <v>498.63750000000005</v>
      </c>
      <c r="H63" s="61">
        <v>625.71</v>
      </c>
      <c r="I63" s="64">
        <v>591.66499999999996</v>
      </c>
      <c r="J63" s="64">
        <v>551.5</v>
      </c>
      <c r="K63" s="64">
        <v>865.74399999999991</v>
      </c>
      <c r="L63" s="64">
        <v>474.88000000000011</v>
      </c>
      <c r="M63" s="64">
        <v>1892.124</v>
      </c>
      <c r="N63" s="64">
        <v>5.1854155341613115</v>
      </c>
      <c r="O63" s="64">
        <v>2.7405262732047748</v>
      </c>
      <c r="P63" s="64">
        <v>462.5</v>
      </c>
      <c r="Q63" s="64">
        <v>455</v>
      </c>
      <c r="R63" s="64">
        <v>683.5</v>
      </c>
      <c r="S63" s="64">
        <v>681.5333333333333</v>
      </c>
      <c r="T63" s="64">
        <v>431.6</v>
      </c>
      <c r="U63" s="64">
        <v>1.7875000000000001</v>
      </c>
    </row>
    <row r="64" spans="1:21" ht="15" customHeight="1" x14ac:dyDescent="0.2">
      <c r="A64" s="11">
        <v>44470</v>
      </c>
      <c r="B64" s="21">
        <v>24338.347999999998</v>
      </c>
      <c r="C64" s="21">
        <v>109.53494028292818</v>
      </c>
      <c r="D64" s="61">
        <v>4.500508427397298</v>
      </c>
      <c r="E64" s="75">
        <v>19092.001</v>
      </c>
      <c r="F64" s="61">
        <v>601.76749999999993</v>
      </c>
      <c r="G64" s="63">
        <v>527.99</v>
      </c>
      <c r="H64" s="61">
        <v>638.97249999999997</v>
      </c>
      <c r="I64" s="64">
        <v>612.77749999999992</v>
      </c>
      <c r="J64" s="64">
        <v>265.5</v>
      </c>
      <c r="K64" s="64">
        <v>684.90499999999997</v>
      </c>
      <c r="L64" s="64">
        <v>166.36000000000013</v>
      </c>
      <c r="M64" s="64">
        <v>1116.7650000000001</v>
      </c>
      <c r="N64" s="64">
        <v>3.1925265068011872</v>
      </c>
      <c r="O64" s="64">
        <v>2.8587272226486204</v>
      </c>
      <c r="P64" s="64">
        <v>488</v>
      </c>
      <c r="Q64" s="64">
        <v>476</v>
      </c>
      <c r="R64" s="64">
        <v>697.5</v>
      </c>
      <c r="S64" s="64">
        <v>694.25</v>
      </c>
      <c r="T64" s="64">
        <v>449</v>
      </c>
      <c r="U64" s="64">
        <v>1.8694</v>
      </c>
    </row>
    <row r="65" spans="1:21" ht="15" customHeight="1" x14ac:dyDescent="0.2">
      <c r="A65" s="11">
        <v>44501</v>
      </c>
      <c r="B65" s="21">
        <v>25870.126</v>
      </c>
      <c r="C65" s="21">
        <v>117.64551569368992</v>
      </c>
      <c r="D65" s="61">
        <v>4.5475432046094371</v>
      </c>
      <c r="E65" s="75">
        <v>25661.637999999999</v>
      </c>
      <c r="F65" s="61">
        <v>621.97</v>
      </c>
      <c r="G65" s="63">
        <v>551.09400000000005</v>
      </c>
      <c r="H65" s="61">
        <v>645.81600000000003</v>
      </c>
      <c r="I65" s="64">
        <v>625.61800000000005</v>
      </c>
      <c r="J65" s="64">
        <v>182.62</v>
      </c>
      <c r="K65" s="64">
        <v>641.13299999999992</v>
      </c>
      <c r="L65" s="64">
        <v>209.44000000000005</v>
      </c>
      <c r="M65" s="64">
        <v>1033.193</v>
      </c>
      <c r="N65" s="64">
        <v>3.2847879947408627</v>
      </c>
      <c r="O65" s="64">
        <v>3.1792588555486372</v>
      </c>
      <c r="P65" s="64">
        <v>515</v>
      </c>
      <c r="Q65" s="64"/>
      <c r="R65" s="64">
        <v>721.66666666666663</v>
      </c>
      <c r="S65" s="64">
        <v>714.66666666666663</v>
      </c>
      <c r="T65" s="64">
        <v>446.75</v>
      </c>
      <c r="U65" s="64">
        <v>1.9289000000000001</v>
      </c>
    </row>
    <row r="66" spans="1:21" ht="15" customHeight="1" x14ac:dyDescent="0.2">
      <c r="A66" s="11">
        <v>44531</v>
      </c>
      <c r="B66" s="21">
        <v>24168.316000000003</v>
      </c>
      <c r="C66" s="21">
        <v>110.62878585295856</v>
      </c>
      <c r="D66" s="61">
        <v>4.5774304611441918</v>
      </c>
      <c r="E66" s="75">
        <v>14561.834999999999</v>
      </c>
      <c r="F66" s="61">
        <v>624.7266666666668</v>
      </c>
      <c r="G66" s="63">
        <v>558.37</v>
      </c>
      <c r="H66" s="61">
        <v>664.13666666666666</v>
      </c>
      <c r="I66" s="64">
        <v>638.12666666666667</v>
      </c>
      <c r="J66" s="64">
        <v>76</v>
      </c>
      <c r="K66" s="64">
        <v>728.65</v>
      </c>
      <c r="L66" s="64">
        <v>132.64999999999998</v>
      </c>
      <c r="M66" s="64">
        <v>937.3</v>
      </c>
      <c r="N66" s="64">
        <v>3.2195757277841492</v>
      </c>
      <c r="O66" s="64">
        <v>3.4349468983080649</v>
      </c>
      <c r="P66" s="64">
        <v>475</v>
      </c>
      <c r="Q66" s="64">
        <v>487</v>
      </c>
      <c r="R66" s="64">
        <v>696.58333333333337</v>
      </c>
      <c r="S66" s="64">
        <v>690</v>
      </c>
      <c r="T66" s="64">
        <v>412.2</v>
      </c>
      <c r="U66" s="64">
        <v>1.921</v>
      </c>
    </row>
    <row r="67" spans="1:21" ht="15" customHeight="1" x14ac:dyDescent="0.2">
      <c r="A67" s="10">
        <v>44562</v>
      </c>
      <c r="B67" s="36">
        <v>19382.002999999997</v>
      </c>
      <c r="C67" s="36">
        <v>91.226234114462756</v>
      </c>
      <c r="D67" s="58">
        <v>4.7067495611502466</v>
      </c>
      <c r="E67" s="72">
        <v>21558.417000000001</v>
      </c>
      <c r="F67" s="58">
        <v>672.99</v>
      </c>
      <c r="G67" s="73">
        <v>617.57000000000005</v>
      </c>
      <c r="H67" s="58">
        <v>720.47750000000008</v>
      </c>
      <c r="I67" s="74">
        <v>693.29</v>
      </c>
      <c r="J67" s="74">
        <v>417.98</v>
      </c>
      <c r="K67" s="74">
        <v>1028.894</v>
      </c>
      <c r="L67" s="74">
        <v>341.68900000000008</v>
      </c>
      <c r="M67" s="74">
        <v>1788.5630000000001</v>
      </c>
      <c r="N67" s="74">
        <v>5.0883856427453544</v>
      </c>
      <c r="O67" s="74">
        <v>2.8449574562066609</v>
      </c>
      <c r="P67" s="74">
        <v>461</v>
      </c>
      <c r="Q67" s="74"/>
      <c r="R67" s="74">
        <v>652.25</v>
      </c>
      <c r="S67" s="74">
        <v>650</v>
      </c>
      <c r="T67" s="74">
        <v>398.75</v>
      </c>
      <c r="U67" s="74">
        <v>1.9735</v>
      </c>
    </row>
    <row r="68" spans="1:21" ht="15" customHeight="1" x14ac:dyDescent="0.2">
      <c r="A68" s="10">
        <v>44593</v>
      </c>
      <c r="B68" s="36">
        <v>21145.138999999999</v>
      </c>
      <c r="C68" s="36">
        <v>100.86156763634887</v>
      </c>
      <c r="D68" s="58">
        <v>4.7699647486993992</v>
      </c>
      <c r="E68" s="72">
        <v>21362.806499999999</v>
      </c>
      <c r="F68" s="58">
        <v>706.95500000000004</v>
      </c>
      <c r="G68" s="73">
        <v>645.02250000000004</v>
      </c>
      <c r="H68" s="58">
        <v>766.47749999999996</v>
      </c>
      <c r="I68" s="74">
        <v>732.4224999999999</v>
      </c>
      <c r="J68" s="74">
        <v>677.06999999999994</v>
      </c>
      <c r="K68" s="74">
        <v>802.91</v>
      </c>
      <c r="L68" s="74">
        <v>387.3119999999999</v>
      </c>
      <c r="M68" s="74">
        <v>1867.2919999999999</v>
      </c>
      <c r="N68" s="74">
        <v>4.8524556822226259</v>
      </c>
      <c r="O68" s="74">
        <v>2.5986592789036886</v>
      </c>
      <c r="P68" s="74">
        <v>454</v>
      </c>
      <c r="Q68" s="74"/>
      <c r="R68" s="74">
        <v>701.22500000000002</v>
      </c>
      <c r="S68" s="74">
        <v>698.25</v>
      </c>
      <c r="T68" s="74">
        <v>399.25</v>
      </c>
      <c r="U68" s="74">
        <v>2.1120999999999999</v>
      </c>
    </row>
    <row r="69" spans="1:21" ht="15" customHeight="1" x14ac:dyDescent="0.2">
      <c r="A69" s="10">
        <v>44621</v>
      </c>
      <c r="B69" s="36">
        <v>23173.996999999999</v>
      </c>
      <c r="C69" s="36">
        <v>94.680823015377541</v>
      </c>
      <c r="D69" s="58">
        <v>4.0856492307036003</v>
      </c>
      <c r="E69" s="72">
        <v>23544.246501000001</v>
      </c>
      <c r="F69" s="58">
        <v>770.91800000000001</v>
      </c>
      <c r="G69" s="73">
        <v>752.30599999999993</v>
      </c>
      <c r="H69" s="58">
        <v>921.1</v>
      </c>
      <c r="I69" s="74">
        <v>859.29399999999987</v>
      </c>
      <c r="J69" s="74">
        <v>776.11</v>
      </c>
      <c r="K69" s="74">
        <v>723.755</v>
      </c>
      <c r="L69" s="74">
        <v>367.91999999999985</v>
      </c>
      <c r="M69" s="74">
        <v>1867.7849999999999</v>
      </c>
      <c r="N69" s="74">
        <v>4.6988049557461249</v>
      </c>
      <c r="O69" s="74">
        <v>2.515709760891176</v>
      </c>
      <c r="P69" s="74">
        <v>562.70000000000005</v>
      </c>
      <c r="Q69" s="74">
        <v>594.33333333333337</v>
      </c>
      <c r="R69" s="74">
        <v>803.6</v>
      </c>
      <c r="S69" s="74">
        <v>797</v>
      </c>
      <c r="T69" s="74">
        <v>459.5</v>
      </c>
      <c r="U69" s="74">
        <v>2.1217000000000001</v>
      </c>
    </row>
    <row r="70" spans="1:21" ht="15" customHeight="1" x14ac:dyDescent="0.2">
      <c r="A70" s="10">
        <v>44652</v>
      </c>
      <c r="B70" s="36">
        <v>18295.884999999998</v>
      </c>
      <c r="C70" s="36">
        <v>80.4430045260399</v>
      </c>
      <c r="D70" s="58">
        <v>4.3967812721844233</v>
      </c>
      <c r="E70" s="72">
        <v>14973.210499999999</v>
      </c>
      <c r="F70" s="58">
        <v>1217.6033333333332</v>
      </c>
      <c r="G70" s="73">
        <v>1154.5266666666666</v>
      </c>
      <c r="H70" s="58">
        <v>1453.0366666666666</v>
      </c>
      <c r="I70" s="74">
        <v>1357.7433333333331</v>
      </c>
      <c r="J70" s="74">
        <v>319</v>
      </c>
      <c r="K70" s="74">
        <v>604.92700000000002</v>
      </c>
      <c r="L70" s="74">
        <v>196.20999999999992</v>
      </c>
      <c r="M70" s="74">
        <v>1120.1369999999999</v>
      </c>
      <c r="N70" s="74">
        <v>3.1487339829276442</v>
      </c>
      <c r="O70" s="74">
        <v>2.8110257789249387</v>
      </c>
      <c r="P70" s="74">
        <v>648.75</v>
      </c>
      <c r="Q70" s="74">
        <v>639</v>
      </c>
      <c r="R70" s="74">
        <v>953.33333333333337</v>
      </c>
      <c r="S70" s="74">
        <v>937.5</v>
      </c>
      <c r="T70" s="74">
        <v>538.25</v>
      </c>
      <c r="U70" s="74">
        <v>2.0943999999999998</v>
      </c>
    </row>
    <row r="71" spans="1:21" ht="15" customHeight="1" x14ac:dyDescent="0.2">
      <c r="A71" s="10">
        <v>44682</v>
      </c>
      <c r="B71" s="36">
        <v>19721.894000000004</v>
      </c>
      <c r="C71" s="36">
        <v>93.688830486517205</v>
      </c>
      <c r="D71" s="58">
        <v>4.7504986329668535</v>
      </c>
      <c r="E71" s="72">
        <v>27740.465499999998</v>
      </c>
      <c r="F71" s="58">
        <v>1071.538</v>
      </c>
      <c r="G71" s="73">
        <v>1111.866</v>
      </c>
      <c r="H71" s="58">
        <v>1518.7099999999998</v>
      </c>
      <c r="I71" s="74">
        <v>1343.7559999999999</v>
      </c>
      <c r="J71" s="74">
        <v>358.3</v>
      </c>
      <c r="K71" s="74">
        <v>494.94400000000002</v>
      </c>
      <c r="L71" s="74">
        <v>125.18399999999997</v>
      </c>
      <c r="M71" s="74">
        <v>978.428</v>
      </c>
      <c r="N71" s="74">
        <v>2.6941532767406158</v>
      </c>
      <c r="O71" s="74">
        <v>2.7535529203381506</v>
      </c>
      <c r="P71" s="74">
        <v>718.33333333333337</v>
      </c>
      <c r="Q71" s="74"/>
      <c r="R71" s="74">
        <v>1162.5</v>
      </c>
      <c r="S71" s="74">
        <v>1153.75</v>
      </c>
      <c r="T71" s="74">
        <v>551.75</v>
      </c>
      <c r="U71" s="74">
        <v>2.0579999999999998</v>
      </c>
    </row>
    <row r="72" spans="1:21" ht="15" customHeight="1" x14ac:dyDescent="0.2">
      <c r="A72" s="10">
        <v>44713</v>
      </c>
      <c r="B72" s="36">
        <v>23578.202000000001</v>
      </c>
      <c r="C72" s="36">
        <v>116.47800611143373</v>
      </c>
      <c r="D72" s="58">
        <v>4.9400716013644184</v>
      </c>
      <c r="E72" s="72">
        <v>20771.637999999999</v>
      </c>
      <c r="F72" s="58">
        <v>1028.3174999999999</v>
      </c>
      <c r="G72" s="73">
        <v>991.15499999999997</v>
      </c>
      <c r="H72" s="58">
        <v>1445.175</v>
      </c>
      <c r="I72" s="74">
        <v>1261.5325</v>
      </c>
      <c r="J72" s="74">
        <v>336.66</v>
      </c>
      <c r="K72" s="74">
        <v>543.13100000000009</v>
      </c>
      <c r="L72" s="74">
        <v>100.11999999999978</v>
      </c>
      <c r="M72" s="74">
        <v>979.91099999999994</v>
      </c>
      <c r="N72" s="74">
        <v>2.809786593930538</v>
      </c>
      <c r="O72" s="74">
        <v>2.8673895832688259</v>
      </c>
      <c r="P72" s="74">
        <v>800.8</v>
      </c>
      <c r="Q72" s="74"/>
      <c r="R72" s="74">
        <v>1400</v>
      </c>
      <c r="S72" s="74">
        <v>1391.6666666666667</v>
      </c>
      <c r="T72" s="74">
        <v>675</v>
      </c>
      <c r="U72" s="74">
        <v>2.0301999999999998</v>
      </c>
    </row>
    <row r="73" spans="1:21" ht="15" customHeight="1" x14ac:dyDescent="0.2">
      <c r="A73" s="10">
        <v>44743</v>
      </c>
      <c r="B73" s="36">
        <v>22756.491000000002</v>
      </c>
      <c r="C73" s="36">
        <v>117.5263825496214</v>
      </c>
      <c r="D73" s="58">
        <v>5.1645213029381987</v>
      </c>
      <c r="E73" s="72">
        <v>18653.089</v>
      </c>
      <c r="F73" s="58">
        <v>1239.6750000000002</v>
      </c>
      <c r="G73" s="73">
        <v>1163.17</v>
      </c>
      <c r="H73" s="58">
        <v>1622.8675000000001</v>
      </c>
      <c r="I73" s="74">
        <v>1471.4375</v>
      </c>
      <c r="J73" s="74">
        <v>74</v>
      </c>
      <c r="K73" s="74">
        <v>701.15200000000004</v>
      </c>
      <c r="L73" s="74">
        <v>27.349999999999909</v>
      </c>
      <c r="M73" s="74">
        <v>802.50199999999995</v>
      </c>
      <c r="N73" s="74">
        <v>2.8899369444712311</v>
      </c>
      <c r="O73" s="74">
        <v>3.6011585572013916</v>
      </c>
      <c r="P73" s="74"/>
      <c r="Q73" s="74"/>
      <c r="R73" s="74">
        <v>1450</v>
      </c>
      <c r="S73" s="74">
        <v>1248.3333333333333</v>
      </c>
      <c r="T73" s="74">
        <v>643.25</v>
      </c>
      <c r="U73" s="74">
        <v>1.7790999999999999</v>
      </c>
    </row>
    <row r="74" spans="1:21" ht="15" customHeight="1" x14ac:dyDescent="0.2">
      <c r="A74" s="10">
        <v>44774</v>
      </c>
      <c r="B74" s="36">
        <v>23009.529000000002</v>
      </c>
      <c r="C74" s="36">
        <v>124.40623101272223</v>
      </c>
      <c r="D74" s="58">
        <v>5.4067265354593843</v>
      </c>
      <c r="E74" s="72">
        <v>21701.734</v>
      </c>
      <c r="F74" s="58">
        <v>1439.48</v>
      </c>
      <c r="G74" s="73">
        <v>1248.7139999999999</v>
      </c>
      <c r="H74" s="58">
        <v>1634.95</v>
      </c>
      <c r="I74" s="74">
        <v>1534.0040000000001</v>
      </c>
      <c r="J74" s="74">
        <v>56</v>
      </c>
      <c r="K74" s="74">
        <v>780.90499999999997</v>
      </c>
      <c r="L74" s="74">
        <v>88.200000000000045</v>
      </c>
      <c r="M74" s="74">
        <v>925.10500000000002</v>
      </c>
      <c r="N74" s="74">
        <v>3.2487804762515506</v>
      </c>
      <c r="O74" s="74">
        <v>3.5117964731047291</v>
      </c>
      <c r="P74" s="74">
        <v>685</v>
      </c>
      <c r="Q74" s="74"/>
      <c r="R74" s="74">
        <v>987.5</v>
      </c>
      <c r="S74" s="74">
        <v>987.5</v>
      </c>
      <c r="T74" s="74">
        <v>529</v>
      </c>
      <c r="U74" s="74">
        <v>1.6093999999999999</v>
      </c>
    </row>
    <row r="75" spans="1:21" ht="15" customHeight="1" x14ac:dyDescent="0.2">
      <c r="A75" s="10">
        <v>44805</v>
      </c>
      <c r="B75" s="36">
        <v>21544.890000000003</v>
      </c>
      <c r="C75" s="36">
        <v>117.81479855268989</v>
      </c>
      <c r="D75" s="58">
        <v>5.4683406855495607</v>
      </c>
      <c r="E75" s="72">
        <v>16048.32</v>
      </c>
      <c r="F75" s="58">
        <v>1490.22</v>
      </c>
      <c r="G75" s="73">
        <v>1341.8025</v>
      </c>
      <c r="H75" s="58">
        <v>1720.93</v>
      </c>
      <c r="I75" s="74">
        <v>1623.9475</v>
      </c>
      <c r="J75" s="74">
        <v>118</v>
      </c>
      <c r="K75" s="74">
        <v>808.24199999999996</v>
      </c>
      <c r="L75" s="74">
        <v>72.786000000000058</v>
      </c>
      <c r="M75" s="74">
        <v>999.02800000000002</v>
      </c>
      <c r="N75" s="74">
        <v>3.3151026898090583</v>
      </c>
      <c r="O75" s="74">
        <v>3.3183281047268527</v>
      </c>
      <c r="P75" s="74">
        <v>670</v>
      </c>
      <c r="Q75" s="74"/>
      <c r="R75" s="74">
        <v>813</v>
      </c>
      <c r="S75" s="74">
        <v>805</v>
      </c>
      <c r="T75" s="74">
        <v>451.25</v>
      </c>
      <c r="U75" s="74">
        <v>1.48</v>
      </c>
    </row>
    <row r="76" spans="1:21" ht="15" customHeight="1" x14ac:dyDescent="0.2">
      <c r="A76" s="10">
        <v>44835</v>
      </c>
      <c r="B76" s="36">
        <v>19002.138000000003</v>
      </c>
      <c r="C76" s="36">
        <v>108.70496925223958</v>
      </c>
      <c r="D76" s="58">
        <v>5.720670445201459</v>
      </c>
      <c r="E76" s="72">
        <v>17626.506000000001</v>
      </c>
      <c r="F76" s="58">
        <v>1485.125</v>
      </c>
      <c r="G76" s="73">
        <v>1285.135</v>
      </c>
      <c r="H76" s="58">
        <v>1568.22</v>
      </c>
      <c r="I76" s="74">
        <v>1502.69</v>
      </c>
      <c r="J76" s="74">
        <v>361.5</v>
      </c>
      <c r="K76" s="74">
        <v>816.72800000000007</v>
      </c>
      <c r="L76" s="74">
        <v>159.97499999999991</v>
      </c>
      <c r="M76" s="74">
        <v>1338.203</v>
      </c>
      <c r="N76" s="74">
        <v>3.3865310242314162</v>
      </c>
      <c r="O76" s="74">
        <v>2.5306556809627661</v>
      </c>
      <c r="P76" s="74">
        <v>500</v>
      </c>
      <c r="Q76" s="74">
        <v>495.2</v>
      </c>
      <c r="R76" s="74">
        <v>675</v>
      </c>
      <c r="S76" s="74">
        <v>675</v>
      </c>
      <c r="T76" s="74">
        <v>412.5</v>
      </c>
      <c r="U76" s="74">
        <v>1.496</v>
      </c>
    </row>
    <row r="77" spans="1:21" ht="15" customHeight="1" x14ac:dyDescent="0.2">
      <c r="A77" s="10">
        <v>44866</v>
      </c>
      <c r="B77" s="36">
        <v>19276.885000000002</v>
      </c>
      <c r="C77" s="36">
        <v>105.67194955888101</v>
      </c>
      <c r="D77" s="58">
        <v>5.4817959208077962</v>
      </c>
      <c r="E77" s="72">
        <v>21039.422999999999</v>
      </c>
      <c r="F77" s="58">
        <v>1356.6959999999999</v>
      </c>
      <c r="G77" s="73">
        <v>1170.482</v>
      </c>
      <c r="H77" s="58">
        <v>1462.4880000000001</v>
      </c>
      <c r="I77" s="74">
        <v>1396.4259999999999</v>
      </c>
      <c r="J77" s="74">
        <v>342.8</v>
      </c>
      <c r="K77" s="74">
        <v>460.75700000000001</v>
      </c>
      <c r="L77" s="74">
        <v>182.51800000000014</v>
      </c>
      <c r="M77" s="74">
        <v>986.07500000000016</v>
      </c>
      <c r="N77" s="74">
        <v>2.0161005960472655</v>
      </c>
      <c r="O77" s="74">
        <v>2.0445712507134499</v>
      </c>
      <c r="P77" s="74">
        <v>526.70000000000005</v>
      </c>
      <c r="Q77" s="74">
        <v>520.1</v>
      </c>
      <c r="R77" s="74">
        <v>612.5</v>
      </c>
      <c r="S77" s="74">
        <v>609</v>
      </c>
      <c r="T77" s="74">
        <v>446.25</v>
      </c>
      <c r="U77" s="74">
        <v>1.4323999999999999</v>
      </c>
    </row>
    <row r="78" spans="1:21" ht="15" customHeight="1" x14ac:dyDescent="0.2">
      <c r="A78" s="10">
        <v>44896</v>
      </c>
      <c r="B78" s="36">
        <v>19304.472000000002</v>
      </c>
      <c r="C78" s="36">
        <v>107.29784944152136</v>
      </c>
      <c r="D78" s="58">
        <v>5.5581861778722237</v>
      </c>
      <c r="E78" s="72">
        <v>13580.5056</v>
      </c>
      <c r="F78" s="58">
        <v>1383.8233333333335</v>
      </c>
      <c r="G78" s="73">
        <v>1237.0200000000002</v>
      </c>
      <c r="H78" s="58">
        <v>1547.17</v>
      </c>
      <c r="I78" s="74">
        <v>1469.4266666666665</v>
      </c>
      <c r="J78" s="74">
        <v>395</v>
      </c>
      <c r="K78" s="74">
        <v>896.40099999999995</v>
      </c>
      <c r="L78" s="74">
        <v>193.79500000000007</v>
      </c>
      <c r="M78" s="74">
        <v>1485.1959999999999</v>
      </c>
      <c r="N78" s="74">
        <v>3.226086169599951</v>
      </c>
      <c r="O78" s="74">
        <v>2.1721619029407235</v>
      </c>
      <c r="P78" s="74">
        <v>517.66666666666663</v>
      </c>
      <c r="Q78" s="74">
        <v>505</v>
      </c>
      <c r="R78" s="74">
        <v>628.33333333333337</v>
      </c>
      <c r="S78" s="74">
        <v>626.33333333333337</v>
      </c>
      <c r="T78" s="74">
        <v>444.33333333333331</v>
      </c>
      <c r="U78" s="74">
        <v>1.5355000000000001</v>
      </c>
    </row>
    <row r="79" spans="1:21" ht="15" customHeight="1" x14ac:dyDescent="0.2">
      <c r="A79" s="11">
        <v>44927</v>
      </c>
      <c r="B79" s="21">
        <v>17556.069</v>
      </c>
      <c r="C79" s="21">
        <v>99.562243829582457</v>
      </c>
      <c r="D79" s="61">
        <v>5.6711011918204735</v>
      </c>
      <c r="E79" s="75">
        <v>23554.374</v>
      </c>
      <c r="F79" s="61">
        <v>1419.752</v>
      </c>
      <c r="G79" s="63">
        <v>1246.0719999999997</v>
      </c>
      <c r="H79" s="61">
        <v>1562.5720000000001</v>
      </c>
      <c r="I79" s="64">
        <v>1486.2339999999999</v>
      </c>
      <c r="J79" s="64">
        <v>331.98</v>
      </c>
      <c r="K79" s="64">
        <v>799.46600000000001</v>
      </c>
      <c r="L79" s="64">
        <v>410.33199999999988</v>
      </c>
      <c r="M79" s="64">
        <v>1541.7779999999998</v>
      </c>
      <c r="N79" s="64">
        <v>3.1959212251547084</v>
      </c>
      <c r="O79" s="64">
        <v>2.0728802883130446</v>
      </c>
      <c r="P79" s="64">
        <v>472.66666666666669</v>
      </c>
      <c r="Q79" s="64">
        <v>483</v>
      </c>
      <c r="R79" s="64">
        <v>600</v>
      </c>
      <c r="S79" s="64">
        <v>572</v>
      </c>
      <c r="T79" s="64">
        <v>398</v>
      </c>
      <c r="U79" s="64">
        <v>1.63</v>
      </c>
    </row>
    <row r="80" spans="1:21" ht="15" customHeight="1" x14ac:dyDescent="0.2">
      <c r="A80" s="11">
        <v>44958</v>
      </c>
      <c r="B80" s="21">
        <v>18551.535</v>
      </c>
      <c r="C80" s="21">
        <v>104.56419654474902</v>
      </c>
      <c r="D80" s="61">
        <v>5.6364175010180571</v>
      </c>
      <c r="E80" s="75">
        <v>16605.977500000001</v>
      </c>
      <c r="F80" s="61">
        <v>1426.41</v>
      </c>
      <c r="G80" s="63">
        <v>1218.1600000000001</v>
      </c>
      <c r="H80" s="61">
        <v>1510.2750000000001</v>
      </c>
      <c r="I80" s="64">
        <v>1452.9574999999998</v>
      </c>
      <c r="J80" s="64">
        <v>777.52</v>
      </c>
      <c r="K80" s="64">
        <v>829.35899999999992</v>
      </c>
      <c r="L80" s="64">
        <v>508.52199999999993</v>
      </c>
      <c r="M80" s="64">
        <v>2115.4009999999998</v>
      </c>
      <c r="N80" s="64">
        <v>3.8741217332833116</v>
      </c>
      <c r="O80" s="64">
        <v>1.8313888162496434</v>
      </c>
      <c r="P80" s="64">
        <v>505</v>
      </c>
      <c r="Q80" s="64">
        <v>485</v>
      </c>
      <c r="R80" s="64">
        <v>616.66666666666663</v>
      </c>
      <c r="S80" s="64">
        <v>610</v>
      </c>
      <c r="T80" s="64">
        <v>450</v>
      </c>
      <c r="U80" s="64">
        <v>1.6173</v>
      </c>
    </row>
    <row r="81" spans="1:21" ht="15" customHeight="1" x14ac:dyDescent="0.2">
      <c r="A81" s="11">
        <v>44986</v>
      </c>
      <c r="B81" s="21">
        <v>17975.769</v>
      </c>
      <c r="C81" s="21">
        <v>110.14846881773171</v>
      </c>
      <c r="D81" s="61">
        <v>6.1276081606150878</v>
      </c>
      <c r="E81" s="75">
        <v>17934.053</v>
      </c>
      <c r="F81" s="61">
        <v>1309.5650000000001</v>
      </c>
      <c r="G81" s="63">
        <v>1115.9124999999999</v>
      </c>
      <c r="H81" s="61">
        <v>1294.2175</v>
      </c>
      <c r="I81" s="64">
        <v>1269.3525</v>
      </c>
      <c r="J81" s="64">
        <v>801.98</v>
      </c>
      <c r="K81" s="64">
        <v>728.42600000000004</v>
      </c>
      <c r="L81" s="64">
        <v>296.9200000000003</v>
      </c>
      <c r="M81" s="64">
        <v>1827.3260000000002</v>
      </c>
      <c r="N81" s="64">
        <v>3.7247535639718103</v>
      </c>
      <c r="O81" s="64">
        <v>2.0383629215431784</v>
      </c>
      <c r="P81" s="64">
        <v>480</v>
      </c>
      <c r="Q81" s="64"/>
      <c r="R81" s="64"/>
      <c r="S81" s="64"/>
      <c r="T81" s="64">
        <v>362.66666666666669</v>
      </c>
      <c r="U81" s="64">
        <v>1.5807</v>
      </c>
    </row>
    <row r="82" spans="1:21" ht="15" customHeight="1" x14ac:dyDescent="0.2">
      <c r="A82" s="11">
        <v>45017</v>
      </c>
      <c r="B82" s="21">
        <v>16168.067000000001</v>
      </c>
      <c r="C82" s="21">
        <v>93.390144183204512</v>
      </c>
      <c r="D82" s="61">
        <v>5.7762096225358608</v>
      </c>
      <c r="E82" s="75">
        <v>13993.716</v>
      </c>
      <c r="F82" s="61">
        <v>1246.3100000000002</v>
      </c>
      <c r="G82" s="63">
        <v>1081.5600000000002</v>
      </c>
      <c r="H82" s="61">
        <v>1308.04</v>
      </c>
      <c r="I82" s="64">
        <v>1258.3400000000001</v>
      </c>
      <c r="J82" s="64">
        <v>388</v>
      </c>
      <c r="K82" s="64">
        <v>501.50300000000004</v>
      </c>
      <c r="L82" s="64">
        <v>89.741999999999962</v>
      </c>
      <c r="M82" s="64">
        <v>979.245</v>
      </c>
      <c r="N82" s="64">
        <v>2.1523204585588398</v>
      </c>
      <c r="O82" s="64">
        <v>2.1979386757745405</v>
      </c>
      <c r="P82" s="64">
        <v>464</v>
      </c>
      <c r="Q82" s="64">
        <v>446.75</v>
      </c>
      <c r="R82" s="64">
        <v>572.5</v>
      </c>
      <c r="S82" s="64">
        <v>570</v>
      </c>
      <c r="T82" s="64">
        <v>440</v>
      </c>
      <c r="U82" s="64">
        <v>1.5412999999999999</v>
      </c>
    </row>
    <row r="83" spans="1:21" ht="15" customHeight="1" x14ac:dyDescent="0.2">
      <c r="A83" s="11">
        <v>45047</v>
      </c>
      <c r="B83" s="21">
        <v>20552.409</v>
      </c>
      <c r="C83" s="21">
        <v>116.32995826722579</v>
      </c>
      <c r="D83" s="61">
        <v>5.6601617001309084</v>
      </c>
      <c r="E83" s="75">
        <v>27017.723999999998</v>
      </c>
      <c r="F83" s="61">
        <v>992.00599999999997</v>
      </c>
      <c r="G83" s="63">
        <v>919.11800000000005</v>
      </c>
      <c r="H83" s="61">
        <v>1125.914</v>
      </c>
      <c r="I83" s="64">
        <v>1058.056</v>
      </c>
      <c r="J83" s="64">
        <v>633.48</v>
      </c>
      <c r="K83" s="64">
        <v>363.04599999999999</v>
      </c>
      <c r="L83" s="64">
        <v>201.62199999999984</v>
      </c>
      <c r="M83" s="64">
        <v>1198.1479999999999</v>
      </c>
      <c r="N83" s="64">
        <v>2.4610252708326144</v>
      </c>
      <c r="O83" s="64">
        <v>2.0540244367412157</v>
      </c>
      <c r="P83" s="64">
        <v>485</v>
      </c>
      <c r="Q83" s="64"/>
      <c r="R83" s="64">
        <v>640.25</v>
      </c>
      <c r="S83" s="64">
        <v>639.75</v>
      </c>
      <c r="T83" s="64">
        <v>485</v>
      </c>
      <c r="U83" s="64">
        <v>1.5568</v>
      </c>
    </row>
    <row r="84" spans="1:21" ht="15" customHeight="1" x14ac:dyDescent="0.2">
      <c r="A84" s="11">
        <v>45078</v>
      </c>
      <c r="B84" s="21">
        <v>21414.191999999999</v>
      </c>
      <c r="C84" s="21">
        <v>111.52511839227887</v>
      </c>
      <c r="D84" s="61">
        <v>5.2080003014953293</v>
      </c>
      <c r="E84" s="75">
        <v>22785.234</v>
      </c>
      <c r="F84" s="61">
        <v>839.05500000000006</v>
      </c>
      <c r="G84" s="63">
        <v>844.12</v>
      </c>
      <c r="H84" s="61">
        <v>1075.1599999999999</v>
      </c>
      <c r="I84" s="64">
        <v>976.5</v>
      </c>
      <c r="J84" s="64">
        <v>279.3</v>
      </c>
      <c r="K84" s="64">
        <v>392.17899999999997</v>
      </c>
      <c r="L84" s="64">
        <v>101.91199999999992</v>
      </c>
      <c r="M84" s="64">
        <v>773.39099999999996</v>
      </c>
      <c r="N84" s="64">
        <v>1.7716811358382694</v>
      </c>
      <c r="O84" s="64">
        <v>2.2907961636976242</v>
      </c>
      <c r="P84" s="64">
        <v>536.25</v>
      </c>
      <c r="Q84" s="64"/>
      <c r="R84" s="64">
        <v>668.25</v>
      </c>
      <c r="S84" s="64">
        <v>659.5</v>
      </c>
      <c r="T84" s="64">
        <v>435.75</v>
      </c>
      <c r="U84" s="64">
        <v>1.534</v>
      </c>
    </row>
    <row r="85" spans="1:21" ht="15" customHeight="1" x14ac:dyDescent="0.2">
      <c r="A85" s="11">
        <v>45108</v>
      </c>
      <c r="B85" s="21">
        <v>22771.1</v>
      </c>
      <c r="C85" s="21">
        <v>115.20040175977786</v>
      </c>
      <c r="D85" s="61">
        <v>5.0590617826884898</v>
      </c>
      <c r="E85" s="75">
        <v>21143.795999999998</v>
      </c>
      <c r="F85" s="61">
        <v>856.24749999999995</v>
      </c>
      <c r="G85" s="63">
        <v>876.59749999999997</v>
      </c>
      <c r="H85" s="61">
        <v>1117.53</v>
      </c>
      <c r="I85" s="64">
        <v>1015.0700000000002</v>
      </c>
      <c r="J85" s="64">
        <v>234.67</v>
      </c>
      <c r="K85" s="64">
        <v>480.447</v>
      </c>
      <c r="L85" s="64">
        <v>65.072999999999979</v>
      </c>
      <c r="M85" s="64">
        <v>780.18999999999994</v>
      </c>
      <c r="N85" s="64">
        <v>2.0085562981399683</v>
      </c>
      <c r="O85" s="64">
        <v>2.5744450686883562</v>
      </c>
      <c r="P85" s="64">
        <v>600</v>
      </c>
      <c r="Q85" s="64"/>
      <c r="R85" s="64">
        <v>732.5</v>
      </c>
      <c r="S85" s="64">
        <v>732.16666666666663</v>
      </c>
      <c r="T85" s="64">
        <v>456</v>
      </c>
      <c r="U85" s="64">
        <v>1.4924999999999999</v>
      </c>
    </row>
    <row r="86" spans="1:21" ht="15" customHeight="1" x14ac:dyDescent="0.2">
      <c r="A86" s="11">
        <v>45139</v>
      </c>
      <c r="B86" s="21">
        <v>23332.144</v>
      </c>
      <c r="C86" s="21">
        <v>119.63348084623125</v>
      </c>
      <c r="D86" s="61">
        <v>5.1274105305638118</v>
      </c>
      <c r="E86" s="75">
        <v>25012.455999999998</v>
      </c>
      <c r="F86" s="61">
        <v>950.9380000000001</v>
      </c>
      <c r="G86" s="63">
        <v>948.06799999999998</v>
      </c>
      <c r="H86" s="61">
        <v>1221.8700000000001</v>
      </c>
      <c r="I86" s="64">
        <v>1122.0439999999999</v>
      </c>
      <c r="J86" s="64">
        <v>228</v>
      </c>
      <c r="K86" s="64">
        <v>493.15500000000003</v>
      </c>
      <c r="L86" s="64">
        <v>55.225000000000136</v>
      </c>
      <c r="M86" s="64">
        <v>776.38000000000011</v>
      </c>
      <c r="N86" s="64">
        <v>2.0178574049588218</v>
      </c>
      <c r="O86" s="64">
        <v>2.5990589723573785</v>
      </c>
      <c r="P86" s="64">
        <v>518.33333333333337</v>
      </c>
      <c r="Q86" s="64">
        <v>510</v>
      </c>
      <c r="R86" s="64">
        <v>778.75</v>
      </c>
      <c r="S86" s="64">
        <v>754</v>
      </c>
      <c r="T86" s="64">
        <v>419.5</v>
      </c>
      <c r="U86" s="64">
        <v>1.4697</v>
      </c>
    </row>
    <row r="87" spans="1:21" ht="15" customHeight="1" x14ac:dyDescent="0.2">
      <c r="A87" s="11">
        <v>45170</v>
      </c>
      <c r="B87" s="21">
        <v>23165.51</v>
      </c>
      <c r="C87" s="21">
        <v>119.95747205511802</v>
      </c>
      <c r="D87" s="61">
        <v>5.1782789178877575</v>
      </c>
      <c r="E87" s="75">
        <v>17055.370999999999</v>
      </c>
      <c r="F87" s="61">
        <v>1056.04</v>
      </c>
      <c r="G87" s="63">
        <v>994.9325</v>
      </c>
      <c r="H87" s="61">
        <v>1253.6775000000002</v>
      </c>
      <c r="I87" s="64">
        <v>1170.2575000000002</v>
      </c>
      <c r="J87" s="64">
        <v>367.5</v>
      </c>
      <c r="K87" s="64">
        <v>468.66799999999995</v>
      </c>
      <c r="L87" s="64">
        <v>145.67600000000016</v>
      </c>
      <c r="M87" s="64">
        <v>981.84400000000005</v>
      </c>
      <c r="N87" s="64">
        <v>2.3209331897426426</v>
      </c>
      <c r="O87" s="64">
        <v>2.3638512734636485</v>
      </c>
      <c r="P87" s="64">
        <v>566</v>
      </c>
      <c r="Q87" s="64"/>
      <c r="R87" s="64">
        <v>806</v>
      </c>
      <c r="S87" s="64">
        <v>785</v>
      </c>
      <c r="T87" s="64">
        <v>443</v>
      </c>
      <c r="U87" s="64">
        <v>1.5544</v>
      </c>
    </row>
    <row r="88" spans="1:21" ht="15" customHeight="1" x14ac:dyDescent="0.2">
      <c r="A88" s="11">
        <v>45200</v>
      </c>
      <c r="B88" s="21">
        <v>18211.627</v>
      </c>
      <c r="C88" s="21">
        <v>95.633478428098627</v>
      </c>
      <c r="D88" s="61">
        <v>5.2512319974540782</v>
      </c>
      <c r="E88" s="75">
        <v>20590.530999999999</v>
      </c>
      <c r="F88" s="61">
        <v>1006.0060000000001</v>
      </c>
      <c r="G88" s="63">
        <v>955.62999999999988</v>
      </c>
      <c r="H88" s="61">
        <v>1223.9279999999999</v>
      </c>
      <c r="I88" s="64">
        <v>1133.444</v>
      </c>
      <c r="J88" s="64">
        <v>285.45999999999998</v>
      </c>
      <c r="K88" s="64">
        <v>266.52600000000001</v>
      </c>
      <c r="L88" s="64">
        <v>132.42000000000007</v>
      </c>
      <c r="M88" s="64">
        <v>684.40600000000006</v>
      </c>
      <c r="N88" s="64">
        <v>1.5101480767270561</v>
      </c>
      <c r="O88" s="64">
        <v>2.2065091140741839</v>
      </c>
      <c r="P88" s="64">
        <v>610</v>
      </c>
      <c r="Q88" s="64"/>
      <c r="R88" s="64">
        <v>845</v>
      </c>
      <c r="S88" s="64">
        <v>811.66666666666663</v>
      </c>
      <c r="T88" s="64">
        <v>479.75</v>
      </c>
      <c r="U88" s="64">
        <v>1.6073</v>
      </c>
    </row>
    <row r="89" spans="1:21" ht="15" customHeight="1" x14ac:dyDescent="0.2">
      <c r="A89" s="11">
        <v>45231</v>
      </c>
      <c r="B89" s="21">
        <v>21460.155999999999</v>
      </c>
      <c r="C89" s="21">
        <v>112.82614167555218</v>
      </c>
      <c r="D89" s="61">
        <v>5.2574707134259508</v>
      </c>
      <c r="E89" s="75">
        <v>18837.771000000001</v>
      </c>
      <c r="F89" s="61">
        <v>1007.8225</v>
      </c>
      <c r="G89" s="63">
        <v>977.95249999999999</v>
      </c>
      <c r="H89" s="61">
        <v>1193.8625</v>
      </c>
      <c r="I89" s="64">
        <v>1121.1924999999999</v>
      </c>
      <c r="J89" s="64">
        <v>25.65</v>
      </c>
      <c r="K89" s="64">
        <v>421.40899999999999</v>
      </c>
      <c r="L89" s="64">
        <v>34.47199999999998</v>
      </c>
      <c r="M89" s="64">
        <v>481.53099999999995</v>
      </c>
      <c r="N89" s="64">
        <v>1.510660779893374</v>
      </c>
      <c r="O89" s="64">
        <v>3.1372035858405258</v>
      </c>
      <c r="P89" s="64">
        <v>682.33333333333337</v>
      </c>
      <c r="Q89" s="64">
        <v>650</v>
      </c>
      <c r="R89" s="64">
        <v>851.25</v>
      </c>
      <c r="S89" s="64">
        <v>835</v>
      </c>
      <c r="T89" s="64">
        <v>518.25</v>
      </c>
      <c r="U89" s="64">
        <v>1.6747000000000001</v>
      </c>
    </row>
    <row r="90" spans="1:21" ht="15" customHeight="1" x14ac:dyDescent="0.2">
      <c r="A90" s="11">
        <v>45261</v>
      </c>
      <c r="B90" s="22">
        <v>20754.286</v>
      </c>
      <c r="C90" s="21">
        <v>111.11997492213281</v>
      </c>
      <c r="D90" s="61">
        <v>5.3540736078385356</v>
      </c>
      <c r="E90" s="75">
        <v>13020.226000000001</v>
      </c>
      <c r="F90" s="61">
        <v>1065.2766666666666</v>
      </c>
      <c r="G90" s="63">
        <v>1013.4033333333333</v>
      </c>
      <c r="H90" s="61">
        <v>1291.3633333333335</v>
      </c>
      <c r="I90" s="64">
        <v>1196.4966666666701</v>
      </c>
      <c r="J90" s="64">
        <v>0</v>
      </c>
      <c r="K90" s="64">
        <v>454.32</v>
      </c>
      <c r="L90" s="64">
        <v>78.734999999999957</v>
      </c>
      <c r="M90" s="64">
        <v>533.05499999999995</v>
      </c>
      <c r="N90" s="64">
        <v>1.4873325920763856</v>
      </c>
      <c r="O90" s="64">
        <v>2.7902047482462145</v>
      </c>
      <c r="P90" s="64">
        <v>793.33333333333337</v>
      </c>
      <c r="Q90" s="64">
        <v>772.5</v>
      </c>
      <c r="R90" s="64">
        <v>898</v>
      </c>
      <c r="S90" s="64">
        <v>865</v>
      </c>
      <c r="T90" s="64">
        <v>610</v>
      </c>
      <c r="U90" s="64">
        <v>1.6618999999999999</v>
      </c>
    </row>
    <row r="91" spans="1:21" ht="15" customHeight="1" x14ac:dyDescent="0.2">
      <c r="A91" s="10" t="s">
        <v>347</v>
      </c>
      <c r="B91" s="36">
        <v>18764.022000000001</v>
      </c>
      <c r="C91" s="36">
        <v>102.17857693076515</v>
      </c>
      <c r="D91" s="58">
        <v>5.4454517763177392</v>
      </c>
      <c r="E91" s="72">
        <v>24916.938999999998</v>
      </c>
      <c r="F91" s="58">
        <v>1098.2459999999999</v>
      </c>
      <c r="G91" s="73">
        <v>1083.9760000000001</v>
      </c>
      <c r="H91" s="58">
        <v>1394.7139999999999</v>
      </c>
      <c r="I91" s="74">
        <v>1284.028</v>
      </c>
      <c r="J91" s="74">
        <v>138.80000000000001</v>
      </c>
      <c r="K91" s="74">
        <v>397.72999999999996</v>
      </c>
      <c r="L91" s="74">
        <v>49.599999999999909</v>
      </c>
      <c r="M91" s="74">
        <v>586.12999999999988</v>
      </c>
      <c r="N91" s="74">
        <v>1.6817214620516323</v>
      </c>
      <c r="O91" s="74">
        <v>2.8691953355938655</v>
      </c>
      <c r="P91" s="74">
        <v>658.33333333333337</v>
      </c>
      <c r="Q91" s="74"/>
      <c r="R91" s="74"/>
      <c r="S91" s="74">
        <v>800</v>
      </c>
      <c r="T91" s="74">
        <v>584.5</v>
      </c>
      <c r="U91" s="74">
        <v>1.8043</v>
      </c>
    </row>
    <row r="92" spans="1:21" ht="15" customHeight="1" x14ac:dyDescent="0.2">
      <c r="A92" s="10" t="s">
        <v>348</v>
      </c>
      <c r="B92" s="36">
        <v>22312.354999999996</v>
      </c>
      <c r="C92" s="36">
        <v>127.73155248206778</v>
      </c>
      <c r="D92" s="58">
        <v>5.7247006190994991</v>
      </c>
      <c r="E92" s="72">
        <v>16882.428500000002</v>
      </c>
      <c r="F92" s="58">
        <v>1175.1775000000002</v>
      </c>
      <c r="G92" s="73">
        <v>1150.3724999999999</v>
      </c>
      <c r="H92" s="58">
        <v>1416.8724999999999</v>
      </c>
      <c r="I92" s="74">
        <v>1331.95</v>
      </c>
      <c r="J92" s="74">
        <v>63.5</v>
      </c>
      <c r="K92" s="74">
        <v>660.04099999999994</v>
      </c>
      <c r="L92" s="74">
        <v>72.620000000000118</v>
      </c>
      <c r="M92" s="74">
        <v>796.16100000000006</v>
      </c>
      <c r="N92" s="74">
        <v>2.3362107664563423</v>
      </c>
      <c r="O92" s="74">
        <v>2.9343446444329002</v>
      </c>
      <c r="P92" s="74">
        <v>650.5</v>
      </c>
      <c r="Q92" s="74">
        <v>644</v>
      </c>
      <c r="R92" s="74">
        <v>800</v>
      </c>
      <c r="S92" s="74">
        <v>790</v>
      </c>
      <c r="T92" s="74">
        <v>549.33333333333337</v>
      </c>
      <c r="U92" s="74">
        <v>2.0245000000000002</v>
      </c>
    </row>
    <row r="93" spans="1:21" ht="15" customHeight="1" x14ac:dyDescent="0.2">
      <c r="A93" s="10" t="s">
        <v>349</v>
      </c>
      <c r="B93" s="36">
        <v>21251.718000000001</v>
      </c>
      <c r="C93" s="36">
        <v>124.85960872850997</v>
      </c>
      <c r="D93" s="58">
        <v>5.875271294702384</v>
      </c>
      <c r="E93" s="72">
        <v>18774.618999999999</v>
      </c>
      <c r="F93" s="58">
        <v>1274.395</v>
      </c>
      <c r="G93" s="73">
        <v>1190.0174999999999</v>
      </c>
      <c r="H93" s="58">
        <v>1374.595</v>
      </c>
      <c r="I93" s="74">
        <v>1320.0775000000001</v>
      </c>
      <c r="J93" s="74">
        <v>293.12</v>
      </c>
      <c r="K93" s="74">
        <v>528.41700000000003</v>
      </c>
      <c r="L93" s="74">
        <v>162.51999999999998</v>
      </c>
      <c r="M93" s="74">
        <v>984.05700000000002</v>
      </c>
      <c r="N93" s="74">
        <v>2.668317396496164</v>
      </c>
      <c r="O93" s="74">
        <v>2.7115475998810679</v>
      </c>
      <c r="P93" s="74">
        <v>686.5</v>
      </c>
      <c r="Q93" s="74">
        <v>665</v>
      </c>
      <c r="R93" s="74">
        <v>760</v>
      </c>
      <c r="S93" s="74">
        <v>754</v>
      </c>
      <c r="T93" s="74">
        <v>539.75</v>
      </c>
      <c r="U93" s="74">
        <v>2.3904000000000001</v>
      </c>
    </row>
    <row r="94" spans="1:21" ht="15" customHeight="1" x14ac:dyDescent="0.2">
      <c r="A94" s="10" t="s">
        <v>350</v>
      </c>
      <c r="B94" s="36">
        <v>16376.414000000001</v>
      </c>
      <c r="C94" s="36">
        <v>95.464113485528173</v>
      </c>
      <c r="D94" s="58">
        <v>5.8293661533915895</v>
      </c>
      <c r="E94" s="72">
        <v>17667.800999999999</v>
      </c>
      <c r="F94" s="58">
        <v>1180.845</v>
      </c>
      <c r="G94" s="73">
        <v>1075.4100000000001</v>
      </c>
      <c r="H94" s="58">
        <v>1311.2249999999999</v>
      </c>
      <c r="I94" s="74">
        <v>1235.1774999999998</v>
      </c>
      <c r="J94" s="74">
        <v>77.160000000000011</v>
      </c>
      <c r="K94" s="74">
        <v>365.20000000000005</v>
      </c>
      <c r="L94" s="74">
        <v>31.52699999999993</v>
      </c>
      <c r="M94" s="74">
        <v>473.887</v>
      </c>
      <c r="N94" s="74">
        <v>1.4474552840260877</v>
      </c>
      <c r="O94" s="74">
        <v>3.0544312969676057</v>
      </c>
      <c r="P94" s="74">
        <v>645</v>
      </c>
      <c r="Q94" s="74">
        <v>640</v>
      </c>
      <c r="R94" s="74">
        <v>771.25</v>
      </c>
      <c r="S94" s="74">
        <v>760.75</v>
      </c>
      <c r="T94" s="74">
        <v>560</v>
      </c>
      <c r="U94" s="74">
        <v>2.2765</v>
      </c>
    </row>
    <row r="95" spans="1:21" ht="15" customHeight="1" x14ac:dyDescent="0.2">
      <c r="A95" s="10" t="s">
        <v>351</v>
      </c>
      <c r="B95" s="36">
        <v>19452.061000000002</v>
      </c>
      <c r="C95" s="36">
        <v>115.03022118686398</v>
      </c>
      <c r="D95" s="58">
        <v>5.9135235688837282</v>
      </c>
      <c r="E95" s="72">
        <v>20369.393499999998</v>
      </c>
      <c r="F95" s="58">
        <v>1168.0949999999998</v>
      </c>
      <c r="G95" s="73">
        <v>1084.5250000000001</v>
      </c>
      <c r="H95" s="58">
        <v>1382.0625</v>
      </c>
      <c r="I95" s="74">
        <v>1283.03</v>
      </c>
      <c r="J95" s="74">
        <v>225.32</v>
      </c>
      <c r="K95" s="74">
        <v>366.23399999999998</v>
      </c>
      <c r="L95" s="74">
        <v>98.720000000000027</v>
      </c>
      <c r="M95" s="74">
        <v>690.274</v>
      </c>
      <c r="N95" s="74">
        <v>1.917098090274592</v>
      </c>
      <c r="O95" s="74">
        <v>2.7773001594650704</v>
      </c>
      <c r="P95" s="74"/>
      <c r="Q95" s="74"/>
      <c r="R95" s="74">
        <v>777.5</v>
      </c>
      <c r="S95" s="74">
        <v>765</v>
      </c>
      <c r="T95" s="74">
        <v>545</v>
      </c>
      <c r="U95" s="74">
        <v>2.1539000000000001</v>
      </c>
    </row>
    <row r="96" spans="1:21" ht="15" customHeight="1" x14ac:dyDescent="0.2">
      <c r="A96" s="10" t="s">
        <v>352</v>
      </c>
      <c r="B96" s="36">
        <v>20956.317999999999</v>
      </c>
      <c r="C96" s="36">
        <v>121.7463479433505</v>
      </c>
      <c r="D96" s="58">
        <v>5.8095295148389381</v>
      </c>
      <c r="E96" s="72">
        <v>20325.867999999999</v>
      </c>
      <c r="F96" s="58">
        <v>1139.9825000000001</v>
      </c>
      <c r="G96" s="73">
        <v>1095.365</v>
      </c>
      <c r="H96" s="58">
        <v>1353.5275000000001</v>
      </c>
      <c r="I96" s="74">
        <v>1261.6725000000001</v>
      </c>
      <c r="J96" s="74">
        <v>237.82</v>
      </c>
      <c r="K96" s="74">
        <v>350.99099999999999</v>
      </c>
      <c r="L96" s="74">
        <v>54.681000000000154</v>
      </c>
      <c r="M96" s="74">
        <v>643.49200000000008</v>
      </c>
      <c r="N96" s="74">
        <v>1.7199522566744381</v>
      </c>
      <c r="O96" s="74">
        <v>2.6728417084819047</v>
      </c>
      <c r="P96" s="74">
        <v>675</v>
      </c>
      <c r="Q96" s="74"/>
      <c r="R96" s="74"/>
      <c r="S96" s="74">
        <v>800</v>
      </c>
      <c r="T96" s="74">
        <v>571.5</v>
      </c>
      <c r="U96" s="74">
        <v>2.2612999999999999</v>
      </c>
    </row>
    <row r="97" spans="1:21" ht="15" customHeight="1" x14ac:dyDescent="0.2">
      <c r="A97" s="10" t="s">
        <v>353</v>
      </c>
      <c r="B97" s="36">
        <v>21355.847000000002</v>
      </c>
      <c r="C97" s="36">
        <v>124.70153574300943</v>
      </c>
      <c r="D97" s="58">
        <v>5.8392221925456491</v>
      </c>
      <c r="E97" s="72">
        <v>24225.510999999999</v>
      </c>
      <c r="F97" s="58">
        <v>1163.5160000000001</v>
      </c>
      <c r="G97" s="73">
        <v>1073.9599999999998</v>
      </c>
      <c r="H97" s="58">
        <v>1319.9060000000002</v>
      </c>
      <c r="I97" s="74">
        <v>1242.444</v>
      </c>
      <c r="J97" s="74">
        <v>356.48</v>
      </c>
      <c r="K97" s="74">
        <v>281.19100000000003</v>
      </c>
      <c r="L97" s="74">
        <v>55.622000000000071</v>
      </c>
      <c r="M97" s="74">
        <v>693.29300000000012</v>
      </c>
      <c r="N97" s="74">
        <v>1.8705649305906484</v>
      </c>
      <c r="O97" s="74">
        <v>2.6980871443828915</v>
      </c>
      <c r="P97" s="74">
        <v>700</v>
      </c>
      <c r="Q97" s="74">
        <v>665</v>
      </c>
      <c r="R97" s="74">
        <v>890.6</v>
      </c>
      <c r="S97" s="74">
        <v>882.8</v>
      </c>
      <c r="T97" s="74">
        <v>648.6</v>
      </c>
      <c r="U97" s="74">
        <v>2.0594999999999999</v>
      </c>
    </row>
    <row r="98" spans="1:21" ht="15" customHeight="1" x14ac:dyDescent="0.2">
      <c r="A98" s="10" t="s">
        <v>354</v>
      </c>
      <c r="B98" s="36">
        <v>22092.451000000001</v>
      </c>
      <c r="C98" s="36">
        <v>130.54485261665434</v>
      </c>
      <c r="D98" s="58">
        <v>5.909025332528941</v>
      </c>
      <c r="E98" s="72">
        <v>19972.129000000001</v>
      </c>
      <c r="F98" s="58">
        <v>1156.7025000000001</v>
      </c>
      <c r="G98" s="73">
        <v>1039.9875</v>
      </c>
      <c r="H98" s="58">
        <v>1276.165</v>
      </c>
      <c r="I98" s="74">
        <v>1207.3674999999998</v>
      </c>
      <c r="J98" s="74">
        <v>265.81700000000001</v>
      </c>
      <c r="K98" s="74">
        <v>557.25699999999995</v>
      </c>
      <c r="L98" s="74">
        <v>75.672000000000139</v>
      </c>
      <c r="M98" s="74">
        <v>898.74600000000009</v>
      </c>
      <c r="N98" s="74">
        <v>2.7340412308181481</v>
      </c>
      <c r="O98" s="74">
        <v>3.0420621964583408</v>
      </c>
      <c r="P98" s="74"/>
      <c r="Q98" s="74"/>
      <c r="R98" s="74">
        <v>950</v>
      </c>
      <c r="S98" s="74">
        <v>948.25</v>
      </c>
      <c r="T98" s="74">
        <v>677.5</v>
      </c>
      <c r="U98" s="74">
        <v>2.387</v>
      </c>
    </row>
    <row r="99" spans="1:21" ht="15" customHeight="1" x14ac:dyDescent="0.2">
      <c r="A99" s="10" t="s">
        <v>355</v>
      </c>
      <c r="B99" s="36">
        <v>19795.864999999998</v>
      </c>
      <c r="C99" s="36">
        <v>117.03757195156574</v>
      </c>
      <c r="D99" s="58">
        <v>5.9122231815364339</v>
      </c>
      <c r="E99" s="72">
        <v>18555.679</v>
      </c>
      <c r="F99" s="58">
        <v>1142.3775000000001</v>
      </c>
      <c r="G99" s="73">
        <v>1049.3175000000001</v>
      </c>
      <c r="H99" s="58">
        <v>1305.2124999999999</v>
      </c>
      <c r="I99" s="74">
        <v>1231.57</v>
      </c>
      <c r="J99" s="74">
        <v>400.9</v>
      </c>
      <c r="K99" s="74">
        <v>321.74199999999996</v>
      </c>
      <c r="L99" s="74">
        <v>82.900000000000091</v>
      </c>
      <c r="M99" s="74">
        <v>805.54200000000003</v>
      </c>
      <c r="N99" s="74">
        <v>2.3109845675169058</v>
      </c>
      <c r="O99" s="74">
        <v>2.8688567045751876</v>
      </c>
      <c r="P99" s="74">
        <v>752</v>
      </c>
      <c r="Q99" s="74"/>
      <c r="R99" s="74">
        <v>1026.25</v>
      </c>
      <c r="S99" s="74">
        <v>1012.25</v>
      </c>
      <c r="T99" s="74">
        <v>685</v>
      </c>
      <c r="U99" s="74">
        <v>2.6511999999999998</v>
      </c>
    </row>
    <row r="100" spans="1:21" ht="15" customHeight="1" x14ac:dyDescent="0.2">
      <c r="A100" s="10" t="s">
        <v>356</v>
      </c>
      <c r="B100" s="36">
        <v>20792.780999999999</v>
      </c>
      <c r="C100" s="36">
        <v>126.81433351793538</v>
      </c>
      <c r="D100" s="58">
        <v>6.098959707118321</v>
      </c>
      <c r="E100" s="72">
        <v>24297.419000000002</v>
      </c>
      <c r="F100" s="58">
        <v>1139.894</v>
      </c>
      <c r="G100" s="73">
        <v>1017.7059999999999</v>
      </c>
      <c r="H100" s="58">
        <v>1252.4959999999999</v>
      </c>
      <c r="I100" s="74">
        <v>1189.3820000000001</v>
      </c>
      <c r="J100" s="74">
        <v>159.95999999999998</v>
      </c>
      <c r="K100" s="74">
        <v>553.12799999999993</v>
      </c>
      <c r="L100" s="74">
        <v>99.730000000000018</v>
      </c>
      <c r="M100" s="74">
        <v>812.81799999999998</v>
      </c>
      <c r="N100" s="74">
        <v>2.7612233193582654</v>
      </c>
      <c r="O100" s="74">
        <v>3.3970991284128371</v>
      </c>
      <c r="P100" s="74">
        <v>810.5</v>
      </c>
      <c r="Q100" s="74"/>
      <c r="R100" s="74">
        <v>1068.75</v>
      </c>
      <c r="S100" s="74">
        <v>1065</v>
      </c>
      <c r="T100" s="74">
        <v>770</v>
      </c>
      <c r="U100" s="74">
        <v>2.6339000000000001</v>
      </c>
    </row>
    <row r="101" spans="1:21" ht="15" customHeight="1" x14ac:dyDescent="0.2">
      <c r="A101" s="10" t="s">
        <v>357</v>
      </c>
      <c r="B101" s="36">
        <v>20071.895</v>
      </c>
      <c r="C101" s="36">
        <v>118.15083166900222</v>
      </c>
      <c r="D101" s="58">
        <v>5.8863815135044399</v>
      </c>
      <c r="E101" s="72">
        <v>18729.579000000002</v>
      </c>
      <c r="F101" s="58">
        <v>1096.4925000000001</v>
      </c>
      <c r="G101" s="73">
        <v>983.22</v>
      </c>
      <c r="H101" s="58">
        <v>1213.0974999999999</v>
      </c>
      <c r="I101" s="74">
        <v>1154.3724999999999</v>
      </c>
      <c r="J101" s="74">
        <v>56</v>
      </c>
      <c r="K101" s="74">
        <v>429.26900000000001</v>
      </c>
      <c r="L101" s="74">
        <v>62.627999999999929</v>
      </c>
      <c r="M101" s="74">
        <v>547.89699999999993</v>
      </c>
      <c r="N101" s="74">
        <v>2.1283901500363687</v>
      </c>
      <c r="O101" s="74">
        <v>3.8846537762323372</v>
      </c>
      <c r="P101" s="74">
        <v>802.5</v>
      </c>
      <c r="Q101" s="74"/>
      <c r="R101" s="74">
        <v>1100</v>
      </c>
      <c r="S101" s="74">
        <v>1055</v>
      </c>
      <c r="T101" s="74">
        <v>733.33333333333337</v>
      </c>
      <c r="U101" s="74">
        <v>2.2907000000000002</v>
      </c>
    </row>
    <row r="102" spans="1:21" ht="15" customHeight="1" x14ac:dyDescent="0.2">
      <c r="A102" s="10" t="s">
        <v>358</v>
      </c>
      <c r="B102" s="36">
        <v>22566.298999999999</v>
      </c>
      <c r="C102" s="36">
        <v>131.60441989094232</v>
      </c>
      <c r="D102" s="58">
        <v>5.8319009196387199</v>
      </c>
      <c r="E102" s="72">
        <v>14698.893</v>
      </c>
      <c r="F102" s="58">
        <v>1139.5066666666669</v>
      </c>
      <c r="G102" s="73">
        <v>1034.5366666666666</v>
      </c>
      <c r="H102" s="58">
        <v>1269.6233333333332</v>
      </c>
      <c r="I102" s="74">
        <v>1200.0933333333335</v>
      </c>
      <c r="J102" s="74">
        <v>203.56</v>
      </c>
      <c r="K102" s="74">
        <v>426.63499999999999</v>
      </c>
      <c r="L102" s="74">
        <v>70.199999999999989</v>
      </c>
      <c r="M102" s="74">
        <v>700.39499999999998</v>
      </c>
      <c r="N102" s="74">
        <v>2.3893680654003266</v>
      </c>
      <c r="O102" s="74">
        <v>3.4114579136063603</v>
      </c>
      <c r="P102" s="74">
        <v>760</v>
      </c>
      <c r="Q102" s="74"/>
      <c r="R102" s="74">
        <v>1050</v>
      </c>
      <c r="S102" s="74">
        <v>1046.6666666666667</v>
      </c>
      <c r="T102" s="74">
        <v>675</v>
      </c>
      <c r="U102" s="74">
        <v>2.3849</v>
      </c>
    </row>
    <row r="103" spans="1:21" ht="15" customHeight="1" x14ac:dyDescent="0.2">
      <c r="A103" s="11" t="s">
        <v>296</v>
      </c>
      <c r="B103" s="21">
        <v>19374.54</v>
      </c>
      <c r="C103" s="21">
        <v>112.69513808851116</v>
      </c>
      <c r="D103" s="61">
        <v>5.8166613549798427</v>
      </c>
      <c r="E103" s="75">
        <v>20402.530999999999</v>
      </c>
      <c r="F103" s="61">
        <v>1115.2225000000001</v>
      </c>
      <c r="G103" s="63">
        <v>1041.8175000000001</v>
      </c>
      <c r="H103" s="61">
        <v>1280.1299999999999</v>
      </c>
      <c r="I103" s="64">
        <v>1207.6424999999999</v>
      </c>
      <c r="J103" s="64">
        <v>296.16500000000002</v>
      </c>
      <c r="K103" s="64">
        <v>580.78600000000006</v>
      </c>
      <c r="L103" s="64">
        <v>85.88799999999992</v>
      </c>
      <c r="M103" s="64">
        <v>962.83900000000006</v>
      </c>
      <c r="N103" s="64">
        <v>3.3431168183088911</v>
      </c>
      <c r="O103" s="64">
        <v>3.472145206320985</v>
      </c>
      <c r="P103" s="64">
        <v>750</v>
      </c>
      <c r="Q103" s="64"/>
      <c r="R103" s="64"/>
      <c r="S103" s="64">
        <v>975</v>
      </c>
      <c r="T103" s="64">
        <v>608.75</v>
      </c>
      <c r="U103" s="64">
        <v>2.3714</v>
      </c>
    </row>
    <row r="104" spans="1:21" ht="15" customHeight="1" x14ac:dyDescent="0.2">
      <c r="A104" s="11" t="s">
        <v>297</v>
      </c>
      <c r="B104" s="21">
        <v>20398.316000000003</v>
      </c>
      <c r="C104" s="21">
        <v>119.41365371151407</v>
      </c>
      <c r="D104" s="61">
        <v>5.8540937257523646</v>
      </c>
      <c r="E104" s="75">
        <v>19573.260999999999</v>
      </c>
      <c r="F104" s="61">
        <v>1111.2375</v>
      </c>
      <c r="G104" s="63">
        <v>1036.3325</v>
      </c>
      <c r="H104" s="61">
        <v>1244.0899999999999</v>
      </c>
      <c r="I104" s="64">
        <v>1187.0574999999999</v>
      </c>
      <c r="J104" s="64">
        <v>239.4</v>
      </c>
      <c r="K104" s="64">
        <v>596.25199999999995</v>
      </c>
      <c r="L104" s="64">
        <v>50.719000000000165</v>
      </c>
      <c r="M104" s="64">
        <v>886.37100000000009</v>
      </c>
      <c r="N104" s="64">
        <v>2.9859258788814418</v>
      </c>
      <c r="O104" s="64">
        <v>3.3687089027974082</v>
      </c>
      <c r="P104" s="64"/>
      <c r="Q104" s="64"/>
      <c r="R104" s="64">
        <v>925</v>
      </c>
      <c r="S104" s="64">
        <v>910</v>
      </c>
      <c r="T104" s="64">
        <v>602.5</v>
      </c>
      <c r="U104" s="64">
        <v>2.4077999999999999</v>
      </c>
    </row>
    <row r="105" spans="1:21" ht="15" customHeight="1" x14ac:dyDescent="0.2">
      <c r="A105" s="11" t="s">
        <v>298</v>
      </c>
      <c r="B105" s="21">
        <v>23433.057999999997</v>
      </c>
      <c r="C105" s="21">
        <v>138.83284839595959</v>
      </c>
      <c r="D105" s="61">
        <v>5.9246577376268865</v>
      </c>
      <c r="E105" s="75">
        <v>17311.819000000003</v>
      </c>
      <c r="F105" s="61">
        <v>1151.845</v>
      </c>
      <c r="G105" s="63">
        <v>1072.1875</v>
      </c>
      <c r="H105" s="61">
        <v>1256.3375000000001</v>
      </c>
      <c r="I105" s="64">
        <v>1204.6375</v>
      </c>
      <c r="J105" s="64">
        <v>158.66</v>
      </c>
      <c r="K105" s="64">
        <v>552.20000000000005</v>
      </c>
      <c r="L105" s="64">
        <v>88.683999999999969</v>
      </c>
      <c r="M105" s="64">
        <v>799.54399999999998</v>
      </c>
      <c r="N105" s="64">
        <v>2.8307596625989753</v>
      </c>
      <c r="O105" s="64">
        <v>3.5404676448062586</v>
      </c>
      <c r="P105" s="64"/>
      <c r="Q105" s="64"/>
      <c r="R105" s="64">
        <v>970.75</v>
      </c>
      <c r="S105" s="64">
        <v>953.25</v>
      </c>
      <c r="T105" s="64">
        <v>585.75</v>
      </c>
      <c r="U105" s="64">
        <v>2.3637000000000001</v>
      </c>
    </row>
    <row r="106" spans="1:21" ht="15" customHeight="1" x14ac:dyDescent="0.2">
      <c r="A106" s="11" t="s">
        <v>299</v>
      </c>
      <c r="B106" s="21">
        <v>18204.84</v>
      </c>
      <c r="C106" s="21">
        <v>107.34586527639321</v>
      </c>
      <c r="D106" s="61">
        <v>5.8965563705252677</v>
      </c>
      <c r="E106" s="75">
        <v>19998.031000000003</v>
      </c>
      <c r="F106" s="61">
        <v>1111.5425</v>
      </c>
      <c r="G106" s="63">
        <v>1066.1475</v>
      </c>
      <c r="H106" s="61">
        <v>1244.8899999999999</v>
      </c>
      <c r="I106" s="64">
        <v>1182.6925000000001</v>
      </c>
      <c r="J106" s="64">
        <v>111.55</v>
      </c>
      <c r="K106" s="64">
        <v>429.40899999999999</v>
      </c>
      <c r="L106" s="64">
        <v>48.699999999999875</v>
      </c>
      <c r="M106" s="64">
        <v>589.65899999999988</v>
      </c>
      <c r="N106" s="64">
        <v>2.0492845437930773</v>
      </c>
      <c r="O106" s="64">
        <v>3.4753722809167291</v>
      </c>
      <c r="P106" s="64">
        <v>680</v>
      </c>
      <c r="Q106" s="64">
        <v>650</v>
      </c>
      <c r="R106" s="64">
        <v>962.5</v>
      </c>
      <c r="S106" s="64">
        <v>950</v>
      </c>
      <c r="T106" s="64">
        <v>568</v>
      </c>
      <c r="U106" s="64">
        <v>2.125</v>
      </c>
    </row>
    <row r="107" spans="1:21" ht="15" customHeight="1" x14ac:dyDescent="0.2">
      <c r="A107" s="11" t="s">
        <v>300</v>
      </c>
      <c r="B107" s="21">
        <v>22131.695</v>
      </c>
      <c r="C107" s="21">
        <v>131.80683937167976</v>
      </c>
      <c r="D107" s="61">
        <v>5.9555691225493463</v>
      </c>
      <c r="E107" s="75">
        <v>21803.303500000002</v>
      </c>
      <c r="F107" s="61">
        <v>1023.0749999999999</v>
      </c>
      <c r="G107" s="63">
        <v>1032.3399999999999</v>
      </c>
      <c r="H107" s="61">
        <v>1257.085</v>
      </c>
      <c r="I107" s="64">
        <v>1164.2874999999999</v>
      </c>
      <c r="J107" s="64">
        <v>123</v>
      </c>
      <c r="K107" s="64">
        <v>403.75</v>
      </c>
      <c r="L107" s="64">
        <v>124.08000000000015</v>
      </c>
      <c r="M107" s="64">
        <v>650.83000000000015</v>
      </c>
      <c r="N107" s="64">
        <v>2.1744668088554251</v>
      </c>
      <c r="O107" s="64">
        <v>3.3410672661915166</v>
      </c>
      <c r="P107" s="64">
        <v>700</v>
      </c>
      <c r="Q107" s="64"/>
      <c r="R107" s="64">
        <v>1025</v>
      </c>
      <c r="S107" s="64">
        <v>1005</v>
      </c>
      <c r="T107" s="64">
        <v>595.66666666666663</v>
      </c>
      <c r="U107" s="64">
        <v>2.1943999999999999</v>
      </c>
    </row>
    <row r="108" spans="1:21" ht="15" customHeight="1" x14ac:dyDescent="0.2">
      <c r="A108" s="11" t="s">
        <v>301</v>
      </c>
      <c r="B108" s="21">
        <v>23266.215</v>
      </c>
      <c r="C108" s="21">
        <v>132.97734413043753</v>
      </c>
      <c r="D108" s="61">
        <v>5.7154695824154267</v>
      </c>
      <c r="E108" s="75">
        <v>22091.319</v>
      </c>
      <c r="F108" s="61">
        <v>987.26499999999999</v>
      </c>
      <c r="G108" s="63">
        <v>981.97</v>
      </c>
      <c r="H108" s="61">
        <v>1202.5324999999998</v>
      </c>
      <c r="I108" s="64">
        <v>1113.8175000000001</v>
      </c>
      <c r="J108" s="64">
        <v>74</v>
      </c>
      <c r="K108" s="64">
        <v>243.62100000000001</v>
      </c>
      <c r="L108" s="64">
        <v>59.250000000000028</v>
      </c>
      <c r="M108" s="64">
        <v>376.87100000000004</v>
      </c>
      <c r="N108" s="64">
        <v>1.3439500349114741</v>
      </c>
      <c r="O108" s="64">
        <v>3.5660744257623276</v>
      </c>
      <c r="P108" s="64"/>
      <c r="Q108" s="64"/>
      <c r="R108" s="64">
        <v>1100</v>
      </c>
      <c r="S108" s="64">
        <v>1111.6666666666667</v>
      </c>
      <c r="T108" s="64">
        <v>613.33333333333337</v>
      </c>
      <c r="U108" s="64">
        <v>2.1606999999999998</v>
      </c>
    </row>
    <row r="109" spans="1:21" ht="15" customHeight="1" x14ac:dyDescent="0.2">
      <c r="A109" s="11" t="s">
        <v>363</v>
      </c>
      <c r="B109" s="21">
        <v>24038.409</v>
      </c>
      <c r="C109" s="21">
        <v>141.01971031646013</v>
      </c>
      <c r="D109" s="61">
        <v>5.8664327708402064</v>
      </c>
      <c r="E109" s="75">
        <v>26210.696</v>
      </c>
      <c r="F109" s="61">
        <v>1041.386</v>
      </c>
      <c r="G109" s="63">
        <v>984.85600000000011</v>
      </c>
      <c r="H109" s="61">
        <v>1221.684</v>
      </c>
      <c r="I109" s="64">
        <v>1143.7259999999999</v>
      </c>
      <c r="J109" s="64">
        <v>268.49600000000004</v>
      </c>
      <c r="K109" s="64">
        <v>513.17700000000002</v>
      </c>
      <c r="L109" s="64">
        <v>59.318000000000097</v>
      </c>
      <c r="M109" s="64">
        <v>840.9910000000001</v>
      </c>
      <c r="N109" s="64">
        <v>2.8714110042550907</v>
      </c>
      <c r="O109" s="64">
        <v>3.4143183509158725</v>
      </c>
      <c r="P109" s="64">
        <v>730</v>
      </c>
      <c r="Q109" s="64"/>
      <c r="R109" s="64">
        <v>1100</v>
      </c>
      <c r="S109" s="64">
        <v>1100</v>
      </c>
      <c r="T109" s="64">
        <v>645</v>
      </c>
      <c r="U109" s="64">
        <v>2.2324000000000002</v>
      </c>
    </row>
    <row r="110" spans="1:21" ht="15" customHeight="1" x14ac:dyDescent="0.2">
      <c r="A110" s="11" t="s">
        <v>364</v>
      </c>
      <c r="B110" s="21">
        <v>23703.772000000001</v>
      </c>
      <c r="C110" s="21">
        <v>141.94045594683192</v>
      </c>
      <c r="D110" s="61">
        <v>5.9880957320561432</v>
      </c>
      <c r="E110" s="75">
        <v>18865.143</v>
      </c>
      <c r="F110" s="61">
        <v>1121.1875</v>
      </c>
      <c r="G110" s="63">
        <v>1021.8724999999999</v>
      </c>
      <c r="H110" s="61">
        <v>1265.095</v>
      </c>
      <c r="I110" s="64">
        <v>1198.1824999999999</v>
      </c>
      <c r="J110" s="64">
        <v>265</v>
      </c>
      <c r="K110" s="64">
        <v>542.25400000000002</v>
      </c>
      <c r="L110" s="64">
        <v>99.310000000000173</v>
      </c>
      <c r="M110" s="64">
        <v>906.56400000000019</v>
      </c>
      <c r="N110" s="64">
        <v>3.1540404677980072</v>
      </c>
      <c r="O110" s="64">
        <v>3.4791150628063838</v>
      </c>
      <c r="P110" s="64">
        <v>725</v>
      </c>
      <c r="Q110" s="64"/>
      <c r="R110" s="64">
        <v>1062.5</v>
      </c>
      <c r="S110" s="64">
        <v>1046.25</v>
      </c>
      <c r="T110" s="64">
        <v>581</v>
      </c>
      <c r="U110" s="64">
        <v>2.1480000000000001</v>
      </c>
    </row>
    <row r="111" spans="1:21" ht="15" customHeight="1" x14ac:dyDescent="0.2">
      <c r="A111" s="11" t="s">
        <v>365</v>
      </c>
      <c r="B111" s="21">
        <v>23776.054000000004</v>
      </c>
      <c r="C111" s="21">
        <v>137.01310896092102</v>
      </c>
      <c r="D111" s="61">
        <v>5.76265131972366</v>
      </c>
      <c r="E111" s="75">
        <v>22225.815000000002</v>
      </c>
      <c r="F111" s="61">
        <v>1170.4359999999999</v>
      </c>
      <c r="G111" s="63">
        <v>1036.434</v>
      </c>
      <c r="H111" s="61">
        <v>1267.904</v>
      </c>
      <c r="I111" s="64">
        <v>1210.6119999999999</v>
      </c>
      <c r="J111" s="64">
        <v>88</v>
      </c>
      <c r="K111" s="64">
        <v>630.42100000000005</v>
      </c>
      <c r="L111" s="64">
        <v>60.699999999999932</v>
      </c>
      <c r="M111" s="64">
        <v>779.12099999999998</v>
      </c>
      <c r="N111" s="64">
        <v>3.1047032202663511</v>
      </c>
      <c r="O111" s="64">
        <v>3.9848793964818703</v>
      </c>
      <c r="P111" s="64">
        <v>700</v>
      </c>
      <c r="Q111" s="64">
        <v>711</v>
      </c>
      <c r="R111" s="64">
        <v>1116.25</v>
      </c>
      <c r="S111" s="64">
        <v>1057.5</v>
      </c>
      <c r="T111" s="64">
        <v>589.6</v>
      </c>
      <c r="U111" s="64">
        <v>2.1074999999999999</v>
      </c>
    </row>
    <row r="112" spans="1:21" ht="15" customHeight="1" x14ac:dyDescent="0.2">
      <c r="A112" s="11" t="s">
        <v>366</v>
      </c>
      <c r="B112" s="21">
        <v>21885.826999999994</v>
      </c>
      <c r="C112" s="21">
        <v>126.5400425955158</v>
      </c>
      <c r="D112" s="61">
        <v>5.7818259550126125</v>
      </c>
      <c r="E112" s="75">
        <v>17990.358</v>
      </c>
      <c r="F112" s="61">
        <v>1161.7024999999999</v>
      </c>
      <c r="G112" s="63">
        <v>1034.0949999999998</v>
      </c>
      <c r="H112" s="61">
        <v>1246.44</v>
      </c>
      <c r="I112" s="64">
        <v>1192.1675</v>
      </c>
      <c r="J112" s="64">
        <v>259.5</v>
      </c>
      <c r="K112" s="64">
        <v>561.98300000000006</v>
      </c>
      <c r="L112" s="64">
        <v>90.379999999999882</v>
      </c>
      <c r="M112" s="64">
        <v>911.86299999999994</v>
      </c>
      <c r="N112" s="64">
        <v>2.9572145660037505</v>
      </c>
      <c r="O112" s="64">
        <v>3.2430469993888891</v>
      </c>
      <c r="P112" s="64"/>
      <c r="Q112" s="64"/>
      <c r="R112" s="64">
        <v>1000</v>
      </c>
      <c r="S112" s="64">
        <v>990</v>
      </c>
      <c r="T112" s="64">
        <v>596.75</v>
      </c>
      <c r="U112" s="64">
        <v>2.0032999999999999</v>
      </c>
    </row>
    <row r="113" spans="1:21" ht="15" customHeight="1" x14ac:dyDescent="0.2">
      <c r="A113" s="11" t="s">
        <v>367</v>
      </c>
      <c r="B113" s="21">
        <v>19359.297000000002</v>
      </c>
      <c r="C113" s="21">
        <v>111.778797030818</v>
      </c>
      <c r="D113" s="61">
        <v>5.7739078557872219</v>
      </c>
      <c r="E113" s="75">
        <v>18287.951000000001</v>
      </c>
      <c r="F113" s="61">
        <v>1168.0775000000001</v>
      </c>
      <c r="G113" s="63">
        <v>1017.105</v>
      </c>
      <c r="H113" s="61">
        <v>1274.33</v>
      </c>
      <c r="I113" s="64">
        <v>1213.1950000000002</v>
      </c>
      <c r="J113" s="64">
        <v>146</v>
      </c>
      <c r="K113" s="64">
        <v>427.52199999999999</v>
      </c>
      <c r="L113" s="64">
        <v>35.650000000000034</v>
      </c>
      <c r="M113" s="64">
        <v>609.17200000000003</v>
      </c>
      <c r="N113" s="64">
        <v>2.0372294195797576</v>
      </c>
      <c r="O113" s="64">
        <v>3.3442597814406398</v>
      </c>
      <c r="P113" s="64"/>
      <c r="Q113" s="64">
        <v>650</v>
      </c>
      <c r="R113" s="64">
        <v>1000</v>
      </c>
      <c r="S113" s="64">
        <v>1000</v>
      </c>
      <c r="T113" s="64">
        <v>583.25</v>
      </c>
      <c r="U113" s="64">
        <v>2.0306000000000002</v>
      </c>
    </row>
    <row r="114" spans="1:21" ht="15" customHeight="1" x14ac:dyDescent="0.2">
      <c r="A114" s="11" t="s">
        <v>368</v>
      </c>
      <c r="B114" s="21">
        <v>17868.846999999998</v>
      </c>
      <c r="C114" s="21">
        <v>105.82051310329304</v>
      </c>
      <c r="D114" s="61">
        <v>5.9220672214213401</v>
      </c>
      <c r="E114" s="75">
        <v>18080.633000000002</v>
      </c>
      <c r="F114" s="61">
        <v>1186.9450000000002</v>
      </c>
      <c r="G114" s="63">
        <v>1056.2975000000001</v>
      </c>
      <c r="H114" s="61">
        <v>1278.4125000000001</v>
      </c>
      <c r="I114" s="64">
        <v>1219.7175</v>
      </c>
      <c r="J114" s="64">
        <v>144</v>
      </c>
      <c r="K114" s="64">
        <v>524.00300000000004</v>
      </c>
      <c r="L114" s="64">
        <v>24.25</v>
      </c>
      <c r="M114" s="64">
        <v>692.25300000000004</v>
      </c>
      <c r="N114" s="64">
        <v>2.3490768655589296</v>
      </c>
      <c r="O114" s="64">
        <v>3.3933791049788584</v>
      </c>
      <c r="P114" s="64">
        <v>700</v>
      </c>
      <c r="Q114" s="64"/>
      <c r="R114" s="64">
        <v>1025</v>
      </c>
      <c r="S114" s="64">
        <v>1025</v>
      </c>
      <c r="T114" s="64">
        <v>601.25</v>
      </c>
      <c r="U114" s="64">
        <v>2.0619000000000001</v>
      </c>
    </row>
    <row r="115" spans="1:21" ht="15" customHeight="1" x14ac:dyDescent="0.2">
      <c r="A115" s="10" t="s">
        <v>376</v>
      </c>
      <c r="B115" s="36">
        <v>20710.108</v>
      </c>
      <c r="C115" s="36">
        <v>121.8385871590268</v>
      </c>
      <c r="D115" s="58">
        <v>5.8830493379863977</v>
      </c>
      <c r="E115" s="72">
        <v>19118.637999999999</v>
      </c>
      <c r="F115" s="58">
        <v>1142.1275000000001</v>
      </c>
      <c r="G115" s="73">
        <v>979.73749999999995</v>
      </c>
      <c r="H115" s="58">
        <v>1233.0275000000001</v>
      </c>
      <c r="I115" s="74">
        <v>1173.8125</v>
      </c>
      <c r="J115" s="74">
        <v>272.10000000000002</v>
      </c>
      <c r="K115" s="74">
        <v>465.697</v>
      </c>
      <c r="L115" s="74">
        <v>56.535000000000004</v>
      </c>
      <c r="M115" s="74">
        <v>794.33199999999999</v>
      </c>
      <c r="N115" s="74">
        <v>2.3855901988702879</v>
      </c>
      <c r="O115" s="74">
        <v>3.0032658874000893</v>
      </c>
      <c r="P115" s="74"/>
      <c r="Q115" s="74"/>
      <c r="R115" s="74"/>
      <c r="S115" s="74"/>
      <c r="T115" s="74">
        <v>600.75</v>
      </c>
      <c r="U115" s="74">
        <v>2.14</v>
      </c>
    </row>
    <row r="116" spans="1:21" ht="15" customHeight="1" x14ac:dyDescent="0.2">
      <c r="A116" s="10" t="s">
        <v>378</v>
      </c>
      <c r="B116" s="36">
        <v>19920.736999999997</v>
      </c>
      <c r="C116" s="36">
        <v>114.98945117366674</v>
      </c>
      <c r="D116" s="58">
        <v>5.7723492445920419</v>
      </c>
      <c r="E116" s="72">
        <v>19145.064999999999</v>
      </c>
      <c r="F116" s="58">
        <v>1155.2224999999999</v>
      </c>
      <c r="G116" s="73">
        <v>979.24749999999995</v>
      </c>
      <c r="H116" s="58">
        <v>1209.8375000000001</v>
      </c>
      <c r="I116" s="74">
        <v>1163.095</v>
      </c>
      <c r="J116" s="74">
        <v>299.02099999999996</v>
      </c>
      <c r="K116" s="74">
        <v>602.54700000000003</v>
      </c>
      <c r="L116" s="74">
        <v>18.874999999999975</v>
      </c>
      <c r="M116" s="74">
        <v>920.44299999999998</v>
      </c>
      <c r="N116" s="74">
        <v>2.9411076182798368</v>
      </c>
      <c r="O116" s="74">
        <v>3.1953174919900924</v>
      </c>
      <c r="P116" s="74"/>
      <c r="Q116" s="74"/>
      <c r="R116" s="74">
        <v>1000</v>
      </c>
      <c r="S116" s="74">
        <v>1000</v>
      </c>
      <c r="T116" s="74">
        <v>603.75</v>
      </c>
      <c r="U116" s="74">
        <v>2.2599999999999998</v>
      </c>
    </row>
    <row r="117" spans="1:21" ht="15" customHeight="1" x14ac:dyDescent="0.2">
      <c r="A117" s="10" t="s">
        <v>377</v>
      </c>
      <c r="B117" s="36">
        <v>19730.488000000001</v>
      </c>
      <c r="C117" s="36">
        <v>114.73707545920672</v>
      </c>
      <c r="D117" s="58">
        <v>5.8152173154159552</v>
      </c>
      <c r="E117" s="72">
        <v>17203.254000000001</v>
      </c>
      <c r="F117" s="58">
        <v>1153.26</v>
      </c>
      <c r="G117" s="73">
        <v>966.16250000000002</v>
      </c>
      <c r="H117" s="58">
        <v>1187.8474999999999</v>
      </c>
      <c r="I117" s="74">
        <v>1148.2774999999999</v>
      </c>
      <c r="J117" s="74">
        <v>289.06</v>
      </c>
      <c r="K117" s="74">
        <v>598.11800000000005</v>
      </c>
      <c r="L117" s="74">
        <v>131.85800000000003</v>
      </c>
      <c r="M117" s="74">
        <v>1019.0360000000001</v>
      </c>
      <c r="N117" s="74">
        <v>3.2638918621192006</v>
      </c>
      <c r="O117" s="74">
        <v>3.2029210568804247</v>
      </c>
      <c r="P117" s="74">
        <v>700</v>
      </c>
      <c r="Q117" s="74"/>
      <c r="R117" s="74"/>
      <c r="S117" s="74"/>
      <c r="T117" s="74">
        <v>617</v>
      </c>
      <c r="U117" s="74">
        <v>2.39</v>
      </c>
    </row>
    <row r="118" spans="1:21" ht="15" customHeight="1" x14ac:dyDescent="0.2">
      <c r="A118" s="166" t="s">
        <v>398</v>
      </c>
      <c r="B118" s="196">
        <v>17975.282999999999</v>
      </c>
      <c r="C118" s="196">
        <v>100.0266410935009</v>
      </c>
      <c r="D118" s="197">
        <v>5.5646768450600135</v>
      </c>
      <c r="E118" s="198">
        <v>13943.514999999999</v>
      </c>
      <c r="F118" s="197">
        <v>1181.24</v>
      </c>
      <c r="G118" s="199">
        <v>1029.6400000000001</v>
      </c>
      <c r="H118" s="197">
        <v>1255.1666666666667</v>
      </c>
      <c r="I118" s="200">
        <v>1200.9100000000001</v>
      </c>
      <c r="J118" s="200">
        <v>191.5</v>
      </c>
      <c r="K118" s="200">
        <v>502.32400000000001</v>
      </c>
      <c r="L118" s="200">
        <v>113.60000000000004</v>
      </c>
      <c r="M118" s="200">
        <v>807.42399999999998</v>
      </c>
      <c r="N118" s="200">
        <v>2.4417723663815778</v>
      </c>
      <c r="O118" s="200">
        <v>3.0241513336011536</v>
      </c>
      <c r="P118" s="200">
        <v>786.33333333333337</v>
      </c>
      <c r="Q118" s="200"/>
      <c r="R118" s="200">
        <v>920</v>
      </c>
      <c r="S118" s="200">
        <v>900</v>
      </c>
      <c r="T118" s="200">
        <v>662.66666666666663</v>
      </c>
      <c r="U118" s="200">
        <v>2.5099999999999998</v>
      </c>
    </row>
    <row r="119" spans="1:21" ht="15" customHeight="1" x14ac:dyDescent="0.2">
      <c r="A119" s="76" t="s">
        <v>111</v>
      </c>
      <c r="B119" s="163"/>
      <c r="C119" s="192"/>
      <c r="D119" s="77"/>
      <c r="F119" s="193"/>
      <c r="G119" s="194"/>
      <c r="H119" s="194"/>
      <c r="I119" s="194"/>
      <c r="S119" s="193" t="s">
        <v>129</v>
      </c>
      <c r="T119" s="194"/>
      <c r="U119" s="194"/>
    </row>
    <row r="120" spans="1:21" ht="15" customHeight="1" x14ac:dyDescent="0.2">
      <c r="A120" s="76" t="s">
        <v>308</v>
      </c>
      <c r="B120" s="78"/>
      <c r="C120" s="79"/>
      <c r="D120" s="79"/>
      <c r="G120" s="76"/>
      <c r="H120" s="76"/>
      <c r="I120" s="76"/>
      <c r="T120" s="76" t="s">
        <v>309</v>
      </c>
      <c r="U120" s="76"/>
    </row>
    <row r="121" spans="1:21" ht="15" customHeight="1" x14ac:dyDescent="0.2">
      <c r="B121" s="78"/>
      <c r="E121" s="79"/>
      <c r="G121" s="32"/>
      <c r="H121" s="76"/>
      <c r="I121" s="76"/>
      <c r="T121" s="19" t="s">
        <v>310</v>
      </c>
      <c r="U121" s="76"/>
    </row>
    <row r="122" spans="1:21" ht="15" customHeight="1" x14ac:dyDescent="0.2">
      <c r="B122" s="32"/>
      <c r="C122" s="80"/>
      <c r="E122" s="79"/>
      <c r="P122" s="86"/>
      <c r="T122" s="19" t="s">
        <v>311</v>
      </c>
    </row>
    <row r="123" spans="1:21" ht="15.75" customHeight="1" x14ac:dyDescent="0.2">
      <c r="A123" s="81"/>
      <c r="E123" s="82"/>
      <c r="F123" s="82"/>
      <c r="G123" s="82"/>
      <c r="H123" s="82"/>
      <c r="I123" s="82"/>
      <c r="T123" s="32" t="s">
        <v>312</v>
      </c>
    </row>
    <row r="124" spans="1:21" ht="15" customHeight="1" x14ac:dyDescent="0.2">
      <c r="A124" s="81"/>
      <c r="E124" s="79"/>
      <c r="F124" s="83"/>
      <c r="G124" s="83"/>
      <c r="H124" s="83"/>
      <c r="I124" s="83"/>
    </row>
    <row r="125" spans="1:21" ht="15" customHeight="1" x14ac:dyDescent="0.2">
      <c r="A125" s="81"/>
      <c r="E125" s="79"/>
      <c r="F125" s="83"/>
      <c r="G125" s="83"/>
      <c r="H125" s="83"/>
      <c r="I125" s="83"/>
    </row>
    <row r="126" spans="1:21" ht="15" customHeight="1" x14ac:dyDescent="0.2">
      <c r="A126" s="81"/>
      <c r="E126" s="32"/>
      <c r="F126" s="68"/>
      <c r="G126" s="68"/>
      <c r="H126" s="68"/>
      <c r="I126" s="68"/>
    </row>
    <row r="127" spans="1:21" ht="15" customHeight="1" x14ac:dyDescent="0.2">
      <c r="A127" s="81"/>
      <c r="B127" s="84"/>
      <c r="C127" s="84"/>
      <c r="D127" s="84"/>
      <c r="E127" s="84"/>
      <c r="F127" s="84"/>
      <c r="G127" s="84"/>
      <c r="H127" s="84"/>
      <c r="I127" s="84"/>
    </row>
    <row r="128" spans="1:21" ht="15" customHeight="1" x14ac:dyDescent="0.2">
      <c r="A128" s="81"/>
      <c r="B128" s="85"/>
      <c r="C128" s="85"/>
      <c r="D128" s="85"/>
      <c r="E128" s="85"/>
      <c r="F128" s="85"/>
      <c r="G128" s="85"/>
      <c r="H128" s="85"/>
      <c r="I128" s="85"/>
      <c r="O128" s="86"/>
    </row>
    <row r="129" spans="2:2" ht="15" customHeight="1" x14ac:dyDescent="0.2">
      <c r="B129" s="87"/>
    </row>
    <row r="130" spans="2:2" ht="15" customHeight="1" x14ac:dyDescent="0.2">
      <c r="B130" s="87"/>
    </row>
    <row r="131" spans="2:2" ht="15" customHeight="1" x14ac:dyDescent="0.2">
      <c r="B131" s="87"/>
    </row>
    <row r="132" spans="2:2" ht="15" customHeight="1" x14ac:dyDescent="0.2">
      <c r="B132" s="87"/>
    </row>
    <row r="133" spans="2:2" ht="15" customHeight="1" x14ac:dyDescent="0.2">
      <c r="B133" s="87"/>
    </row>
    <row r="134" spans="2:2" ht="15" customHeight="1" x14ac:dyDescent="0.2">
      <c r="B134" s="87"/>
    </row>
    <row r="135" spans="2:2" ht="15" customHeight="1" x14ac:dyDescent="0.2">
      <c r="B135" s="87"/>
    </row>
    <row r="136" spans="2:2" ht="15" customHeight="1" x14ac:dyDescent="0.2">
      <c r="B136" s="87"/>
    </row>
    <row r="137" spans="2:2" ht="15" customHeight="1" x14ac:dyDescent="0.2">
      <c r="B137" s="87"/>
    </row>
    <row r="138" spans="2:2" ht="15" customHeight="1" x14ac:dyDescent="0.2">
      <c r="B138" s="87"/>
    </row>
    <row r="139" spans="2:2" ht="15" customHeight="1" x14ac:dyDescent="0.2">
      <c r="B139" s="87"/>
    </row>
    <row r="140" spans="2:2" ht="15" customHeight="1" x14ac:dyDescent="0.2">
      <c r="B140" s="87"/>
    </row>
  </sheetData>
  <mergeCells count="21">
    <mergeCell ref="A4:U4"/>
    <mergeCell ref="P7:T7"/>
    <mergeCell ref="J5:U5"/>
    <mergeCell ref="B5:I5"/>
    <mergeCell ref="B7:B8"/>
    <mergeCell ref="C7:C8"/>
    <mergeCell ref="D7:D8"/>
    <mergeCell ref="E7:E8"/>
    <mergeCell ref="F7:I8"/>
    <mergeCell ref="A5:A9"/>
    <mergeCell ref="J7:M8"/>
    <mergeCell ref="J6:O6"/>
    <mergeCell ref="O7:O8"/>
    <mergeCell ref="N7:N9"/>
    <mergeCell ref="P8:Q8"/>
    <mergeCell ref="R8:S8"/>
    <mergeCell ref="T8:T9"/>
    <mergeCell ref="P6:U6"/>
    <mergeCell ref="U7:U9"/>
    <mergeCell ref="B6:D6"/>
    <mergeCell ref="E6:I6"/>
  </mergeCells>
  <phoneticPr fontId="19" type="noConversion"/>
  <hyperlinks>
    <hyperlink ref="U2" location="Contents!A1" display="Back to Contents" xr:uid="{5EE9BB04-31E4-40E4-ACAE-26AC1FCD8641}"/>
  </hyperlinks>
  <pageMargins left="0.74803149606299213" right="0.74803149606299213" top="0.19685039370078741" bottom="0.19685039370078741" header="0.15748031496062992" footer="0.19685039370078741"/>
  <pageSetup paperSize="9" scale="16" orientation="landscape" r:id="rId1"/>
  <headerFooter alignWithMargins="0">
    <oddHeader>&amp;L&amp;"Calibri"&amp;10&amp;K000000 [Limited Sharing]&amp;1#_x000D_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B8508-9503-481C-A510-789907FF4B9E}">
  <sheetPr>
    <pageSetUpPr fitToPage="1"/>
  </sheetPr>
  <dimension ref="A1:P124"/>
  <sheetViews>
    <sheetView zoomScaleNormal="100" workbookViewId="0">
      <pane xSplit="1" ySplit="8" topLeftCell="B9" activePane="bottomRight" state="frozen"/>
      <selection pane="topRight" activeCell="B1" sqref="B1"/>
      <selection pane="bottomLeft" activeCell="A9" sqref="A9"/>
      <selection pane="bottomRight" activeCell="P2" sqref="P2"/>
    </sheetView>
  </sheetViews>
  <sheetFormatPr defaultRowHeight="15" customHeight="1" x14ac:dyDescent="0.2"/>
  <cols>
    <col min="1" max="1" width="14" style="19" customWidth="1"/>
    <col min="2" max="2" width="9.42578125" style="19" customWidth="1"/>
    <col min="3" max="3" width="10.140625" style="19" customWidth="1"/>
    <col min="4" max="4" width="9.42578125" style="19" bestFit="1" customWidth="1"/>
    <col min="5" max="5" width="10.42578125" style="19" customWidth="1"/>
    <col min="6" max="6" width="14.140625" style="19" customWidth="1"/>
    <col min="7" max="7" width="11.42578125" style="19" customWidth="1"/>
    <col min="8" max="8" width="9.42578125" style="19" bestFit="1" customWidth="1"/>
    <col min="9" max="9" width="10.5703125" style="19" customWidth="1"/>
    <col min="10" max="10" width="10.28515625" style="19" bestFit="1" customWidth="1"/>
    <col min="11" max="11" width="10.28515625" style="19" customWidth="1"/>
    <col min="12" max="14" width="9.28515625" style="19" bestFit="1" customWidth="1"/>
    <col min="15" max="15" width="11.85546875" style="19" customWidth="1"/>
    <col min="16" max="16" width="12" style="19" customWidth="1"/>
    <col min="17" max="16384" width="9.140625" style="19"/>
  </cols>
  <sheetData>
    <row r="1" spans="1:16" s="16" customFormat="1" ht="15" customHeight="1" x14ac:dyDescent="0.25">
      <c r="A1" s="13" t="s">
        <v>29</v>
      </c>
      <c r="P1" s="15" t="s">
        <v>159</v>
      </c>
    </row>
    <row r="2" spans="1:16" s="16" customFormat="1" ht="15" customHeight="1" x14ac:dyDescent="0.25">
      <c r="A2" s="54" t="s">
        <v>286</v>
      </c>
      <c r="P2" s="17" t="s">
        <v>10</v>
      </c>
    </row>
    <row r="3" spans="1:16" s="16" customFormat="1" ht="15" customHeight="1" x14ac:dyDescent="0.25">
      <c r="A3" s="13"/>
    </row>
    <row r="4" spans="1:16" s="16" customFormat="1" ht="17.25" customHeight="1" x14ac:dyDescent="0.3">
      <c r="A4" s="245" t="s">
        <v>160</v>
      </c>
      <c r="B4" s="245"/>
      <c r="C4" s="245"/>
      <c r="D4" s="245"/>
      <c r="E4" s="245"/>
      <c r="F4" s="245"/>
      <c r="G4" s="245"/>
      <c r="H4" s="245"/>
      <c r="I4" s="245"/>
      <c r="J4" s="245"/>
      <c r="K4" s="245"/>
      <c r="L4" s="245"/>
      <c r="M4" s="245"/>
      <c r="N4" s="245"/>
      <c r="O4" s="245"/>
      <c r="P4" s="245"/>
    </row>
    <row r="5" spans="1:16" s="99" customFormat="1" ht="15" customHeight="1" x14ac:dyDescent="0.2">
      <c r="A5" s="246" t="s">
        <v>3</v>
      </c>
      <c r="B5" s="230" t="s">
        <v>31</v>
      </c>
      <c r="C5" s="230"/>
      <c r="D5" s="230"/>
      <c r="E5" s="230"/>
      <c r="F5" s="230"/>
      <c r="G5" s="230"/>
      <c r="H5" s="230"/>
      <c r="I5" s="230"/>
      <c r="J5" s="230"/>
      <c r="K5" s="230"/>
      <c r="L5" s="230"/>
      <c r="M5" s="230"/>
      <c r="N5" s="230"/>
      <c r="O5" s="230"/>
      <c r="P5" s="230"/>
    </row>
    <row r="6" spans="1:16" s="99" customFormat="1" ht="15" customHeight="1" x14ac:dyDescent="0.2">
      <c r="A6" s="247"/>
      <c r="B6" s="249" t="s">
        <v>153</v>
      </c>
      <c r="C6" s="250"/>
      <c r="D6" s="246"/>
      <c r="E6" s="253" t="s">
        <v>313</v>
      </c>
      <c r="F6" s="249" t="s">
        <v>132</v>
      </c>
      <c r="G6" s="250"/>
      <c r="H6" s="250"/>
      <c r="I6" s="250"/>
      <c r="J6" s="246"/>
      <c r="K6" s="256" t="s">
        <v>154</v>
      </c>
      <c r="L6" s="235"/>
      <c r="M6" s="235"/>
      <c r="N6" s="235"/>
      <c r="O6" s="249" t="s">
        <v>314</v>
      </c>
      <c r="P6" s="246"/>
    </row>
    <row r="7" spans="1:16" s="99" customFormat="1" ht="15" customHeight="1" x14ac:dyDescent="0.2">
      <c r="A7" s="247"/>
      <c r="B7" s="251"/>
      <c r="C7" s="252"/>
      <c r="D7" s="248"/>
      <c r="E7" s="254"/>
      <c r="F7" s="251"/>
      <c r="G7" s="252"/>
      <c r="H7" s="252"/>
      <c r="I7" s="252"/>
      <c r="J7" s="248"/>
      <c r="K7" s="257"/>
      <c r="L7" s="242" t="s">
        <v>125</v>
      </c>
      <c r="M7" s="243"/>
      <c r="N7" s="244"/>
      <c r="O7" s="251"/>
      <c r="P7" s="248"/>
    </row>
    <row r="8" spans="1:16" s="99" customFormat="1" ht="60" customHeight="1" x14ac:dyDescent="0.2">
      <c r="A8" s="248"/>
      <c r="B8" s="154" t="s">
        <v>155</v>
      </c>
      <c r="C8" s="154" t="s">
        <v>156</v>
      </c>
      <c r="D8" s="154" t="s">
        <v>157</v>
      </c>
      <c r="E8" s="255"/>
      <c r="F8" s="154" t="s">
        <v>155</v>
      </c>
      <c r="G8" s="154" t="s">
        <v>156</v>
      </c>
      <c r="H8" s="154" t="s">
        <v>157</v>
      </c>
      <c r="I8" s="155" t="s">
        <v>158</v>
      </c>
      <c r="J8" s="154" t="s">
        <v>2</v>
      </c>
      <c r="K8" s="154" t="s">
        <v>2</v>
      </c>
      <c r="L8" s="154" t="s">
        <v>155</v>
      </c>
      <c r="M8" s="154" t="s">
        <v>156</v>
      </c>
      <c r="N8" s="154" t="s">
        <v>157</v>
      </c>
      <c r="O8" s="154" t="s">
        <v>155</v>
      </c>
      <c r="P8" s="154" t="s">
        <v>156</v>
      </c>
    </row>
    <row r="9" spans="1:16" ht="15" customHeight="1" x14ac:dyDescent="0.2">
      <c r="A9" s="35" t="s">
        <v>48</v>
      </c>
      <c r="B9" s="90">
        <v>43043.182999999997</v>
      </c>
      <c r="C9" s="90">
        <v>19763.962000000003</v>
      </c>
      <c r="D9" s="90">
        <v>1081.71</v>
      </c>
      <c r="E9" s="90">
        <v>574.43297318000009</v>
      </c>
      <c r="F9" s="90">
        <v>15341.684069999999</v>
      </c>
      <c r="G9" s="90">
        <v>14582.444613</v>
      </c>
      <c r="H9" s="90">
        <v>296.44914599999993</v>
      </c>
      <c r="I9" s="90">
        <v>33753.290160000004</v>
      </c>
      <c r="J9" s="90">
        <v>63973.867989000006</v>
      </c>
      <c r="K9" s="90">
        <v>345.17164743367135</v>
      </c>
      <c r="L9" s="57">
        <v>1.9240747645905039</v>
      </c>
      <c r="M9" s="57">
        <v>3.980310597463367</v>
      </c>
      <c r="N9" s="57">
        <v>1.4979756211935014</v>
      </c>
      <c r="O9" s="57">
        <v>447.55909090909086</v>
      </c>
      <c r="P9" s="58">
        <v>447.93272727272739</v>
      </c>
    </row>
    <row r="10" spans="1:16" ht="15" customHeight="1" x14ac:dyDescent="0.2">
      <c r="A10" s="34" t="s">
        <v>49</v>
      </c>
      <c r="B10" s="91">
        <v>48490.307000000001</v>
      </c>
      <c r="C10" s="91">
        <v>18785.041000000001</v>
      </c>
      <c r="D10" s="91">
        <v>827.92899999999997</v>
      </c>
      <c r="E10" s="91">
        <v>612.78838946999997</v>
      </c>
      <c r="F10" s="91">
        <v>22714.903184000003</v>
      </c>
      <c r="G10" s="91">
        <v>17063.939643999998</v>
      </c>
      <c r="H10" s="91">
        <v>270.517383</v>
      </c>
      <c r="I10" s="91">
        <v>44624.897628999999</v>
      </c>
      <c r="J10" s="91">
        <v>84674.257840000006</v>
      </c>
      <c r="K10" s="91">
        <v>425.24811495834984</v>
      </c>
      <c r="L10" s="60">
        <v>2.3499500204501707</v>
      </c>
      <c r="M10" s="60">
        <v>4.5587616005065597</v>
      </c>
      <c r="N10" s="60">
        <v>1.6273198984975621</v>
      </c>
      <c r="O10" s="60">
        <v>537.25083333333328</v>
      </c>
      <c r="P10" s="61">
        <v>601.1350000000001</v>
      </c>
    </row>
    <row r="11" spans="1:16" ht="15" customHeight="1" x14ac:dyDescent="0.2">
      <c r="A11" s="35" t="s">
        <v>50</v>
      </c>
      <c r="B11" s="90">
        <v>55137.672999999995</v>
      </c>
      <c r="C11" s="90">
        <v>19676.938000000002</v>
      </c>
      <c r="D11" s="90">
        <v>2079.9800000000005</v>
      </c>
      <c r="E11" s="90">
        <v>687.48511657999995</v>
      </c>
      <c r="F11" s="90">
        <v>32823.725103999997</v>
      </c>
      <c r="G11" s="90">
        <v>24369.723995</v>
      </c>
      <c r="H11" s="90">
        <v>924.51653600000009</v>
      </c>
      <c r="I11" s="90">
        <v>70391.029991000003</v>
      </c>
      <c r="J11" s="90">
        <v>128508.99562600002</v>
      </c>
      <c r="K11" s="90">
        <v>400.28625049740685</v>
      </c>
      <c r="L11" s="57">
        <v>1.8581927844270738</v>
      </c>
      <c r="M11" s="57">
        <v>3.8166120506948968</v>
      </c>
      <c r="N11" s="57">
        <v>1.2830092077059363</v>
      </c>
      <c r="O11" s="57">
        <v>538.74587336396542</v>
      </c>
      <c r="P11" s="58">
        <v>672.72551086972487</v>
      </c>
    </row>
    <row r="12" spans="1:16" ht="15" customHeight="1" x14ac:dyDescent="0.2">
      <c r="A12" s="34" t="s">
        <v>51</v>
      </c>
      <c r="B12" s="91">
        <v>49960.656999999999</v>
      </c>
      <c r="C12" s="91">
        <v>20244.863000000001</v>
      </c>
      <c r="D12" s="91">
        <v>979.00300000000004</v>
      </c>
      <c r="E12" s="91">
        <v>640.29698597000004</v>
      </c>
      <c r="F12" s="91">
        <v>26186.418190000004</v>
      </c>
      <c r="G12" s="91">
        <v>21850.305293999998</v>
      </c>
      <c r="H12" s="91">
        <v>418.181781</v>
      </c>
      <c r="I12" s="91">
        <v>61409.090449999996</v>
      </c>
      <c r="J12" s="91">
        <v>109863.995715</v>
      </c>
      <c r="K12" s="91">
        <v>336.78059637607845</v>
      </c>
      <c r="L12" s="60">
        <v>1.6049700470546562</v>
      </c>
      <c r="M12" s="60">
        <v>3.3039599482724253</v>
      </c>
      <c r="N12" s="60">
        <v>1.2858620599344242</v>
      </c>
      <c r="O12" s="60">
        <v>534.04144798549407</v>
      </c>
      <c r="P12" s="61">
        <v>640.08609074751269</v>
      </c>
    </row>
    <row r="13" spans="1:16" ht="15" customHeight="1" x14ac:dyDescent="0.2">
      <c r="A13" s="35" t="s">
        <v>362</v>
      </c>
      <c r="B13" s="90">
        <v>57271.328000000001</v>
      </c>
      <c r="C13" s="90">
        <v>23593.139000000003</v>
      </c>
      <c r="D13" s="90">
        <v>344.02500000000003</v>
      </c>
      <c r="E13" s="90">
        <v>733.27977213000008</v>
      </c>
      <c r="F13" s="90">
        <v>33607.069202999999</v>
      </c>
      <c r="G13" s="90">
        <v>25009.850891999999</v>
      </c>
      <c r="H13" s="90">
        <v>143.50125400000002</v>
      </c>
      <c r="I13" s="90">
        <v>66841.890884000008</v>
      </c>
      <c r="J13" s="90">
        <v>125602.312233</v>
      </c>
      <c r="K13" s="90">
        <v>416.49120815063816</v>
      </c>
      <c r="L13" s="57">
        <v>1.9441086226136786</v>
      </c>
      <c r="M13" s="57">
        <v>3.5362130178605464</v>
      </c>
      <c r="N13" s="57">
        <v>1.4064268800387196</v>
      </c>
      <c r="O13" s="57">
        <v>725.13666666666666</v>
      </c>
      <c r="P13" s="58">
        <v>667.0618025</v>
      </c>
    </row>
    <row r="14" spans="1:16" ht="15" customHeight="1" x14ac:dyDescent="0.2">
      <c r="A14" s="34" t="s">
        <v>421</v>
      </c>
      <c r="B14" s="91">
        <v>52122.654000000002</v>
      </c>
      <c r="C14" s="91">
        <v>26671.146999999997</v>
      </c>
      <c r="D14" s="91">
        <v>786.00499999999988</v>
      </c>
      <c r="E14" s="91">
        <v>718.05011708999996</v>
      </c>
      <c r="F14" s="91">
        <v>45237.503353</v>
      </c>
      <c r="G14" s="91">
        <v>44669.119733</v>
      </c>
      <c r="H14" s="91">
        <v>469.98427800000002</v>
      </c>
      <c r="I14" s="91">
        <v>82323.946932999985</v>
      </c>
      <c r="J14" s="91">
        <v>172700.554297</v>
      </c>
      <c r="K14" s="91">
        <v>573.54156981361382</v>
      </c>
      <c r="L14" s="60">
        <v>2.8444445339348015</v>
      </c>
      <c r="M14" s="60">
        <v>5.5438422073618945</v>
      </c>
      <c r="N14" s="60">
        <v>2.3305648980732916</v>
      </c>
      <c r="O14" s="60">
        <v>1132.6868824999999</v>
      </c>
      <c r="P14" s="61">
        <v>879.33787249999989</v>
      </c>
    </row>
    <row r="15" spans="1:16" ht="15" customHeight="1" x14ac:dyDescent="0.2">
      <c r="A15" s="8"/>
      <c r="B15" s="91"/>
      <c r="C15" s="91"/>
      <c r="D15" s="91"/>
      <c r="E15" s="91"/>
      <c r="F15" s="91"/>
      <c r="G15" s="91"/>
      <c r="H15" s="91"/>
      <c r="I15" s="91"/>
      <c r="J15" s="91"/>
      <c r="K15" s="91"/>
      <c r="L15" s="60"/>
      <c r="M15" s="60"/>
      <c r="N15" s="60"/>
      <c r="O15" s="60"/>
      <c r="P15" s="61"/>
    </row>
    <row r="16" spans="1:16" ht="15" customHeight="1" x14ac:dyDescent="0.2">
      <c r="A16" s="9" t="s">
        <v>13</v>
      </c>
      <c r="B16" s="90">
        <v>11794.411</v>
      </c>
      <c r="C16" s="90">
        <v>3208.3440000000001</v>
      </c>
      <c r="D16" s="90">
        <v>901.86900000000003</v>
      </c>
      <c r="E16" s="90">
        <v>140.31538406000001</v>
      </c>
      <c r="F16" s="90">
        <v>3503.0767159999996</v>
      </c>
      <c r="G16" s="90">
        <v>2198.7662760000003</v>
      </c>
      <c r="H16" s="90">
        <v>230.24565799999999</v>
      </c>
      <c r="I16" s="90">
        <v>6919.4797580000013</v>
      </c>
      <c r="J16" s="90">
        <v>12851.568408000001</v>
      </c>
      <c r="K16" s="90">
        <v>70.425371595683785</v>
      </c>
      <c r="L16" s="57">
        <v>1.6273721072520952</v>
      </c>
      <c r="M16" s="57">
        <v>3.7576705826177221</v>
      </c>
      <c r="N16" s="57">
        <v>1.403288523197942</v>
      </c>
      <c r="O16" s="57">
        <v>389.19000000000005</v>
      </c>
      <c r="P16" s="58">
        <v>393.04333333333335</v>
      </c>
    </row>
    <row r="17" spans="1:16" ht="15" customHeight="1" x14ac:dyDescent="0.2">
      <c r="A17" s="9" t="s">
        <v>14</v>
      </c>
      <c r="B17" s="90">
        <v>8198.018</v>
      </c>
      <c r="C17" s="90">
        <v>4207.5730000000003</v>
      </c>
      <c r="D17" s="90">
        <v>52.958000000000006</v>
      </c>
      <c r="E17" s="90">
        <v>112.66556053000002</v>
      </c>
      <c r="F17" s="90">
        <v>3112.3619650000001</v>
      </c>
      <c r="G17" s="90">
        <v>2997.4133389999997</v>
      </c>
      <c r="H17" s="90">
        <v>16.890624000000003</v>
      </c>
      <c r="I17" s="90">
        <v>8230.3983460000018</v>
      </c>
      <c r="J17" s="90">
        <v>14357.064274</v>
      </c>
      <c r="K17" s="90">
        <v>76.373411727908717</v>
      </c>
      <c r="L17" s="57">
        <v>2.018190010530255</v>
      </c>
      <c r="M17" s="57">
        <v>3.7917708938106105</v>
      </c>
      <c r="N17" s="57">
        <v>1.6739018995873991</v>
      </c>
      <c r="O17" s="57">
        <v>415.16999999999996</v>
      </c>
      <c r="P17" s="58">
        <v>496.73</v>
      </c>
    </row>
    <row r="18" spans="1:16" ht="15" customHeight="1" x14ac:dyDescent="0.2">
      <c r="A18" s="9" t="s">
        <v>15</v>
      </c>
      <c r="B18" s="90">
        <v>13426.353999999999</v>
      </c>
      <c r="C18" s="90">
        <v>7133.9169999999995</v>
      </c>
      <c r="D18" s="90">
        <v>66.054000000000002</v>
      </c>
      <c r="E18" s="90">
        <v>186.65216109000002</v>
      </c>
      <c r="F18" s="90">
        <v>4987.6715690000001</v>
      </c>
      <c r="G18" s="90">
        <v>5272.6392450000003</v>
      </c>
      <c r="H18" s="90">
        <v>25.376187000000002</v>
      </c>
      <c r="I18" s="90">
        <v>10188.631294000001</v>
      </c>
      <c r="J18" s="90">
        <v>20474.318294999997</v>
      </c>
      <c r="K18" s="90">
        <v>110.49814804113223</v>
      </c>
      <c r="L18" s="57">
        <v>2.0048716327531566</v>
      </c>
      <c r="M18" s="57">
        <v>3.9895753355199473</v>
      </c>
      <c r="N18" s="57">
        <v>2.0708789018590648</v>
      </c>
      <c r="O18" s="57">
        <v>439.26333333333332</v>
      </c>
      <c r="P18" s="58">
        <v>450.23</v>
      </c>
    </row>
    <row r="19" spans="1:16" ht="15" customHeight="1" x14ac:dyDescent="0.2">
      <c r="A19" s="9" t="s">
        <v>16</v>
      </c>
      <c r="B19" s="90">
        <v>9624.4</v>
      </c>
      <c r="C19" s="90">
        <v>5214.1280000000006</v>
      </c>
      <c r="D19" s="90">
        <v>60.829000000000001</v>
      </c>
      <c r="E19" s="90">
        <v>134.7998675</v>
      </c>
      <c r="F19" s="90">
        <v>3738.5738200000001</v>
      </c>
      <c r="G19" s="90">
        <v>4113.6257530000003</v>
      </c>
      <c r="H19" s="90">
        <v>23.936677000000003</v>
      </c>
      <c r="I19" s="90">
        <v>8414.7807620000003</v>
      </c>
      <c r="J19" s="90">
        <v>16290.917011999998</v>
      </c>
      <c r="K19" s="90">
        <v>87.874716068946668</v>
      </c>
      <c r="L19" s="57">
        <v>2.0947936926389779</v>
      </c>
      <c r="M19" s="57">
        <v>4.2567722512595321</v>
      </c>
      <c r="N19" s="57">
        <v>2.1265590473535543</v>
      </c>
      <c r="O19" s="57">
        <v>535.81666666666672</v>
      </c>
      <c r="P19" s="58">
        <v>467.99333333333334</v>
      </c>
    </row>
    <row r="20" spans="1:16" ht="15" customHeight="1" x14ac:dyDescent="0.2">
      <c r="A20" s="8" t="s">
        <v>17</v>
      </c>
      <c r="B20" s="91">
        <v>10553.087</v>
      </c>
      <c r="C20" s="91">
        <v>3835.0089999999996</v>
      </c>
      <c r="D20" s="91">
        <v>22.779</v>
      </c>
      <c r="E20" s="91">
        <v>130.15477727000001</v>
      </c>
      <c r="F20" s="91">
        <v>4421.5794380000007</v>
      </c>
      <c r="G20" s="91">
        <v>3555.2856119999997</v>
      </c>
      <c r="H20" s="91">
        <v>12.525300999999999</v>
      </c>
      <c r="I20" s="91">
        <v>10731.794084000001</v>
      </c>
      <c r="J20" s="91">
        <v>18721.184435000003</v>
      </c>
      <c r="K20" s="91">
        <v>96.293286484202213</v>
      </c>
      <c r="L20" s="60">
        <v>2.1536160189888616</v>
      </c>
      <c r="M20" s="60">
        <v>4.7647019172754774</v>
      </c>
      <c r="N20" s="60">
        <v>2.8151675159806735</v>
      </c>
      <c r="O20" s="60">
        <v>567.82999999999993</v>
      </c>
      <c r="P20" s="61">
        <v>511.79666666666662</v>
      </c>
    </row>
    <row r="21" spans="1:16" ht="15" customHeight="1" x14ac:dyDescent="0.2">
      <c r="A21" s="8" t="s">
        <v>18</v>
      </c>
      <c r="B21" s="91">
        <v>9857.2510000000002</v>
      </c>
      <c r="C21" s="91">
        <v>4402.1620000000003</v>
      </c>
      <c r="D21" s="91">
        <v>42</v>
      </c>
      <c r="E21" s="91">
        <v>129.27196745999998</v>
      </c>
      <c r="F21" s="91">
        <v>5094.5769149999996</v>
      </c>
      <c r="G21" s="91">
        <v>3982.9019659999999</v>
      </c>
      <c r="H21" s="91">
        <v>17.998737000000002</v>
      </c>
      <c r="I21" s="91">
        <v>10802.454566</v>
      </c>
      <c r="J21" s="91">
        <v>19897.932183999998</v>
      </c>
      <c r="K21" s="91">
        <v>99.947953660192141</v>
      </c>
      <c r="L21" s="60">
        <v>2.5965324149209934</v>
      </c>
      <c r="M21" s="60">
        <v>4.5439564324723785</v>
      </c>
      <c r="N21" s="60">
        <v>2.1556996856269293</v>
      </c>
      <c r="O21" s="60">
        <v>552.54333333333329</v>
      </c>
      <c r="P21" s="61">
        <v>694.66666666666663</v>
      </c>
    </row>
    <row r="22" spans="1:16" ht="15" customHeight="1" x14ac:dyDescent="0.2">
      <c r="A22" s="8" t="s">
        <v>19</v>
      </c>
      <c r="B22" s="91">
        <v>13979.683000000001</v>
      </c>
      <c r="C22" s="91">
        <v>4929.4069999999992</v>
      </c>
      <c r="D22" s="91">
        <v>636.75</v>
      </c>
      <c r="E22" s="91">
        <v>174.35709943000001</v>
      </c>
      <c r="F22" s="91">
        <v>6457.3402340000002</v>
      </c>
      <c r="G22" s="91">
        <v>4626.574036</v>
      </c>
      <c r="H22" s="91">
        <v>200.035492</v>
      </c>
      <c r="I22" s="91">
        <v>12100.761621</v>
      </c>
      <c r="J22" s="91">
        <v>23384.711383000002</v>
      </c>
      <c r="K22" s="91">
        <v>116.47322163540568</v>
      </c>
      <c r="L22" s="60">
        <v>2.300550740154049</v>
      </c>
      <c r="M22" s="60">
        <v>4.6753198411303085</v>
      </c>
      <c r="N22" s="60">
        <v>1.5611414554375485</v>
      </c>
      <c r="O22" s="60">
        <v>513.13333333333333</v>
      </c>
      <c r="P22" s="61">
        <v>598.51666666666677</v>
      </c>
    </row>
    <row r="23" spans="1:16" ht="15" customHeight="1" x14ac:dyDescent="0.2">
      <c r="A23" s="8" t="s">
        <v>20</v>
      </c>
      <c r="B23" s="91">
        <v>14100.286</v>
      </c>
      <c r="C23" s="91">
        <v>5618.4629999999997</v>
      </c>
      <c r="D23" s="91">
        <v>126.4</v>
      </c>
      <c r="E23" s="91">
        <v>179.00454531</v>
      </c>
      <c r="F23" s="91">
        <v>6741.4065969999992</v>
      </c>
      <c r="G23" s="91">
        <v>4899.17803</v>
      </c>
      <c r="H23" s="91">
        <v>39.957853</v>
      </c>
      <c r="I23" s="91">
        <v>10989.887358</v>
      </c>
      <c r="J23" s="91">
        <v>22670.429838</v>
      </c>
      <c r="K23" s="91">
        <v>112.53365317854984</v>
      </c>
      <c r="L23" s="60">
        <v>2.373487948898382</v>
      </c>
      <c r="M23" s="60">
        <v>4.3275291037567696</v>
      </c>
      <c r="N23" s="60">
        <v>1.5710635035638769</v>
      </c>
      <c r="O23" s="60">
        <v>515.49666666666667</v>
      </c>
      <c r="P23" s="61">
        <v>599.55999999999995</v>
      </c>
    </row>
    <row r="24" spans="1:16" ht="15" customHeight="1" x14ac:dyDescent="0.2">
      <c r="A24" s="9" t="s">
        <v>21</v>
      </c>
      <c r="B24" s="90">
        <v>13286.635</v>
      </c>
      <c r="C24" s="90">
        <v>4166.9790000000003</v>
      </c>
      <c r="D24" s="90">
        <v>188.5</v>
      </c>
      <c r="E24" s="90">
        <v>158.62955535</v>
      </c>
      <c r="F24" s="90">
        <v>6013.7779659999997</v>
      </c>
      <c r="G24" s="90">
        <v>3939.9757010000003</v>
      </c>
      <c r="H24" s="90">
        <v>58.607191</v>
      </c>
      <c r="I24" s="90">
        <v>13091.469036</v>
      </c>
      <c r="J24" s="90">
        <v>23103.829894000002</v>
      </c>
      <c r="K24" s="90">
        <v>104.72578887438372</v>
      </c>
      <c r="L24" s="57">
        <v>2.0540411559229965</v>
      </c>
      <c r="M24" s="57">
        <v>4.2475146794957332</v>
      </c>
      <c r="N24" s="57">
        <v>1.4115780396114876</v>
      </c>
      <c r="O24" s="57">
        <v>508.12092592592597</v>
      </c>
      <c r="P24" s="58">
        <v>682.08372037037043</v>
      </c>
    </row>
    <row r="25" spans="1:16" ht="15" customHeight="1" x14ac:dyDescent="0.2">
      <c r="A25" s="9" t="s">
        <v>22</v>
      </c>
      <c r="B25" s="90">
        <v>13067.996999999999</v>
      </c>
      <c r="C25" s="90">
        <v>6235.52</v>
      </c>
      <c r="D25" s="90">
        <v>346.1</v>
      </c>
      <c r="E25" s="90">
        <v>176.67136312000002</v>
      </c>
      <c r="F25" s="90">
        <v>9499.0653259999999</v>
      </c>
      <c r="G25" s="90">
        <v>8453.3520619999999</v>
      </c>
      <c r="H25" s="90">
        <v>158.281296</v>
      </c>
      <c r="I25" s="90">
        <v>20470.453436</v>
      </c>
      <c r="J25" s="90">
        <v>38581.152119999999</v>
      </c>
      <c r="K25" s="90">
        <v>111.08497741092907</v>
      </c>
      <c r="L25" s="57">
        <v>2.0953984417950009</v>
      </c>
      <c r="M25" s="57">
        <v>3.9020519288132127</v>
      </c>
      <c r="N25" s="57">
        <v>1.3024473936756973</v>
      </c>
      <c r="O25" s="57">
        <v>600.91111111111115</v>
      </c>
      <c r="P25" s="58">
        <v>730.56944333333331</v>
      </c>
    </row>
    <row r="26" spans="1:16" ht="15" customHeight="1" x14ac:dyDescent="0.2">
      <c r="A26" s="9" t="s">
        <v>23</v>
      </c>
      <c r="B26" s="90">
        <v>13358.894</v>
      </c>
      <c r="C26" s="90">
        <v>5103.5560000000005</v>
      </c>
      <c r="D26" s="90">
        <v>640.28</v>
      </c>
      <c r="E26" s="90">
        <v>170.42512324</v>
      </c>
      <c r="F26" s="90">
        <v>8926.9165489999996</v>
      </c>
      <c r="G26" s="90">
        <v>6761.8867470000005</v>
      </c>
      <c r="H26" s="90">
        <v>290.95887099999999</v>
      </c>
      <c r="I26" s="90">
        <v>19499.100611999998</v>
      </c>
      <c r="J26" s="90">
        <v>35478.862779000003</v>
      </c>
      <c r="K26" s="90">
        <v>98.177629197585077</v>
      </c>
      <c r="L26" s="57">
        <v>1.8490444090125489</v>
      </c>
      <c r="M26" s="57">
        <v>3.666587466467865</v>
      </c>
      <c r="N26" s="57">
        <v>1.2568564825980399</v>
      </c>
      <c r="O26" s="57">
        <v>520.07623015873003</v>
      </c>
      <c r="P26" s="58">
        <v>648.77561327561318</v>
      </c>
    </row>
    <row r="27" spans="1:16" ht="15" customHeight="1" x14ac:dyDescent="0.2">
      <c r="A27" s="9" t="s">
        <v>24</v>
      </c>
      <c r="B27" s="90">
        <v>15424.146999999999</v>
      </c>
      <c r="C27" s="90">
        <v>4170.8829999999998</v>
      </c>
      <c r="D27" s="90">
        <v>905.09999999999991</v>
      </c>
      <c r="E27" s="90">
        <v>181.75907487000001</v>
      </c>
      <c r="F27" s="90">
        <v>8383.965263</v>
      </c>
      <c r="G27" s="90">
        <v>5214.5094849999996</v>
      </c>
      <c r="H27" s="90">
        <v>416.66917799999999</v>
      </c>
      <c r="I27" s="90">
        <v>17330.006907000003</v>
      </c>
      <c r="J27" s="90">
        <v>31345.150833</v>
      </c>
      <c r="K27" s="90">
        <v>86.297855014508968</v>
      </c>
      <c r="L27" s="57">
        <v>1.4964381623502101</v>
      </c>
      <c r="M27" s="57">
        <v>3.4419514795202026</v>
      </c>
      <c r="N27" s="57">
        <v>1.2673007620687184</v>
      </c>
      <c r="O27" s="57">
        <v>525.87522626009468</v>
      </c>
      <c r="P27" s="58">
        <v>629.47326649958234</v>
      </c>
    </row>
    <row r="28" spans="1:16" ht="15" customHeight="1" x14ac:dyDescent="0.2">
      <c r="A28" s="8" t="s">
        <v>25</v>
      </c>
      <c r="B28" s="91">
        <v>9939.1919999999991</v>
      </c>
      <c r="C28" s="91">
        <v>4405.2549999999992</v>
      </c>
      <c r="D28" s="91">
        <v>283.17500000000001</v>
      </c>
      <c r="E28" s="91">
        <v>131.36123157000003</v>
      </c>
      <c r="F28" s="91">
        <v>5778.5792769999998</v>
      </c>
      <c r="G28" s="91">
        <v>5178.4043019999999</v>
      </c>
      <c r="H28" s="91">
        <v>135.508623</v>
      </c>
      <c r="I28" s="91">
        <v>15405.677401000001</v>
      </c>
      <c r="J28" s="91">
        <v>26498.169602999998</v>
      </c>
      <c r="K28" s="91">
        <v>75.760793903530583</v>
      </c>
      <c r="L28" s="60">
        <v>1.6593089122785285</v>
      </c>
      <c r="M28" s="60">
        <v>3.349470523003681</v>
      </c>
      <c r="N28" s="60">
        <v>1.3417575793945995</v>
      </c>
      <c r="O28" s="60">
        <v>564.28357142857135</v>
      </c>
      <c r="P28" s="61">
        <v>730.37142857142862</v>
      </c>
    </row>
    <row r="29" spans="1:16" ht="15" customHeight="1" x14ac:dyDescent="0.2">
      <c r="A29" s="8" t="s">
        <v>26</v>
      </c>
      <c r="B29" s="91">
        <v>10080.215</v>
      </c>
      <c r="C29" s="91">
        <v>4708.4779999999992</v>
      </c>
      <c r="D29" s="91">
        <v>43.54</v>
      </c>
      <c r="E29" s="91">
        <v>134.1116179</v>
      </c>
      <c r="F29" s="91">
        <v>5212.5793199999998</v>
      </c>
      <c r="G29" s="91">
        <v>4963.9921130000002</v>
      </c>
      <c r="H29" s="91">
        <v>23.426411999999999</v>
      </c>
      <c r="I29" s="91">
        <v>16282.876841000001</v>
      </c>
      <c r="J29" s="91">
        <v>26482.874685999999</v>
      </c>
      <c r="K29" s="91">
        <v>85.277901273570052</v>
      </c>
      <c r="L29" s="60">
        <v>1.6663157290723545</v>
      </c>
      <c r="M29" s="60">
        <v>3.3948498675847274</v>
      </c>
      <c r="N29" s="60">
        <v>1.7616633128077854</v>
      </c>
      <c r="O29" s="60">
        <v>506.17689754689769</v>
      </c>
      <c r="P29" s="61">
        <v>688.69769135642139</v>
      </c>
    </row>
    <row r="30" spans="1:16" ht="15" customHeight="1" x14ac:dyDescent="0.2">
      <c r="A30" s="8" t="s">
        <v>27</v>
      </c>
      <c r="B30" s="91">
        <v>14563.326999999999</v>
      </c>
      <c r="C30" s="91">
        <v>5724.183</v>
      </c>
      <c r="D30" s="91">
        <v>426.63800000000003</v>
      </c>
      <c r="E30" s="91">
        <v>185.78261167000002</v>
      </c>
      <c r="F30" s="91">
        <v>7414.1618400000007</v>
      </c>
      <c r="G30" s="91">
        <v>6018.6244649999999</v>
      </c>
      <c r="H30" s="91">
        <v>170.79510100000002</v>
      </c>
      <c r="I30" s="91">
        <v>17036.500484</v>
      </c>
      <c r="J30" s="91">
        <v>30640.081890000001</v>
      </c>
      <c r="K30" s="91">
        <v>95.38218317713077</v>
      </c>
      <c r="L30" s="60">
        <v>1.5842532725987855</v>
      </c>
      <c r="M30" s="60">
        <v>3.2722636530320242</v>
      </c>
      <c r="N30" s="60">
        <v>1.2446621514505409</v>
      </c>
      <c r="O30" s="60">
        <v>504.01732456140354</v>
      </c>
      <c r="P30" s="61">
        <v>571.41479649122812</v>
      </c>
    </row>
    <row r="31" spans="1:16" ht="15" customHeight="1" x14ac:dyDescent="0.2">
      <c r="A31" s="8" t="s">
        <v>28</v>
      </c>
      <c r="B31" s="91">
        <v>15377.922999999999</v>
      </c>
      <c r="C31" s="91">
        <v>5406.9470000000001</v>
      </c>
      <c r="D31" s="91">
        <v>225.65</v>
      </c>
      <c r="E31" s="91">
        <v>189.04152483000001</v>
      </c>
      <c r="F31" s="91">
        <v>7781.097753</v>
      </c>
      <c r="G31" s="91">
        <v>5689.2844139999997</v>
      </c>
      <c r="H31" s="91">
        <v>88.451644999999999</v>
      </c>
      <c r="I31" s="91">
        <v>12684.035724000001</v>
      </c>
      <c r="J31" s="91">
        <v>26242.869536000002</v>
      </c>
      <c r="K31" s="91">
        <v>80.359718021847016</v>
      </c>
      <c r="L31" s="60">
        <v>1.5492566117749926</v>
      </c>
      <c r="M31" s="60">
        <v>3.2212878824997451</v>
      </c>
      <c r="N31" s="60">
        <v>1.2018064263536818</v>
      </c>
      <c r="O31" s="60">
        <v>561.68799840510371</v>
      </c>
      <c r="P31" s="61">
        <v>569.86044657097295</v>
      </c>
    </row>
    <row r="32" spans="1:16" ht="15" customHeight="1" x14ac:dyDescent="0.2">
      <c r="A32" s="9" t="s">
        <v>369</v>
      </c>
      <c r="B32" s="90">
        <v>13530.335999999999</v>
      </c>
      <c r="C32" s="90">
        <v>5779.4830000000002</v>
      </c>
      <c r="D32" s="90">
        <v>146.72499999999999</v>
      </c>
      <c r="E32" s="90">
        <v>175.49901581000003</v>
      </c>
      <c r="F32" s="90">
        <v>6970.5082750000001</v>
      </c>
      <c r="G32" s="90">
        <v>5673.3654499999993</v>
      </c>
      <c r="H32" s="90">
        <v>60.479398000000003</v>
      </c>
      <c r="I32" s="90">
        <v>17116.357360000002</v>
      </c>
      <c r="J32" s="90">
        <v>29820.710483000003</v>
      </c>
      <c r="K32" s="90">
        <v>95.561418642662517</v>
      </c>
      <c r="L32" s="57">
        <v>1.6458773570369853</v>
      </c>
      <c r="M32" s="57">
        <v>3.1371318381479014</v>
      </c>
      <c r="N32" s="57">
        <v>1.3424529718626239</v>
      </c>
      <c r="O32" s="57">
        <v>580.78499999999997</v>
      </c>
      <c r="P32" s="58">
        <v>587.89473666666663</v>
      </c>
    </row>
    <row r="33" spans="1:16" ht="15" customHeight="1" x14ac:dyDescent="0.2">
      <c r="A33" s="9" t="s">
        <v>370</v>
      </c>
      <c r="B33" s="90">
        <v>13407.102999999999</v>
      </c>
      <c r="C33" s="90">
        <v>5348.6929999999993</v>
      </c>
      <c r="D33" s="90">
        <v>53</v>
      </c>
      <c r="E33" s="90">
        <v>169.89455313000002</v>
      </c>
      <c r="F33" s="90">
        <v>7206.5866850000002</v>
      </c>
      <c r="G33" s="90">
        <v>5481.0921460000009</v>
      </c>
      <c r="H33" s="90">
        <v>21.422972000000001</v>
      </c>
      <c r="I33" s="90">
        <v>16071.854762000001</v>
      </c>
      <c r="J33" s="90">
        <v>28780.956565</v>
      </c>
      <c r="K33" s="90">
        <v>95.608377267187677</v>
      </c>
      <c r="L33" s="57">
        <v>1.7865926950290103</v>
      </c>
      <c r="M33" s="57">
        <v>3.4038728332246735</v>
      </c>
      <c r="N33" s="57">
        <v>1.3349303208569285</v>
      </c>
      <c r="O33" s="57">
        <v>614.35333333333335</v>
      </c>
      <c r="P33" s="58">
        <v>619.14828333333332</v>
      </c>
    </row>
    <row r="34" spans="1:16" ht="15" customHeight="1" x14ac:dyDescent="0.2">
      <c r="A34" s="9" t="s">
        <v>371</v>
      </c>
      <c r="B34" s="90">
        <v>15784.877</v>
      </c>
      <c r="C34" s="90">
        <v>7032.0940000000001</v>
      </c>
      <c r="D34" s="90">
        <v>63.5</v>
      </c>
      <c r="E34" s="90">
        <v>206.82861742000003</v>
      </c>
      <c r="F34" s="90">
        <v>9515.6620999999996</v>
      </c>
      <c r="G34" s="90">
        <v>7181.3562029999994</v>
      </c>
      <c r="H34" s="90">
        <v>28.708359999999999</v>
      </c>
      <c r="I34" s="90">
        <v>18464.801815999999</v>
      </c>
      <c r="J34" s="90">
        <v>35190.528479000001</v>
      </c>
      <c r="K34" s="90">
        <v>116.58928338226617</v>
      </c>
      <c r="L34" s="57">
        <v>1.9960131041351061</v>
      </c>
      <c r="M34" s="57">
        <v>3.3795943927197487</v>
      </c>
      <c r="N34" s="57">
        <v>1.5729115243304304</v>
      </c>
      <c r="O34" s="57">
        <v>721.04500000000007</v>
      </c>
      <c r="P34" s="58">
        <v>701.29399999999998</v>
      </c>
    </row>
    <row r="35" spans="1:16" ht="15" customHeight="1" x14ac:dyDescent="0.2">
      <c r="A35" s="9" t="s">
        <v>372</v>
      </c>
      <c r="B35" s="90">
        <v>14549.012000000001</v>
      </c>
      <c r="C35" s="90">
        <v>5432.8690000000006</v>
      </c>
      <c r="D35" s="90">
        <v>80.8</v>
      </c>
      <c r="E35" s="90">
        <v>181.05758577</v>
      </c>
      <c r="F35" s="90">
        <v>9914.3121429999992</v>
      </c>
      <c r="G35" s="90">
        <v>6674.037092999999</v>
      </c>
      <c r="H35" s="90">
        <v>32.890523999999999</v>
      </c>
      <c r="I35" s="90">
        <v>15188.876946000002</v>
      </c>
      <c r="J35" s="90">
        <v>31810.116706000001</v>
      </c>
      <c r="K35" s="90">
        <v>108.73212885852179</v>
      </c>
      <c r="L35" s="57">
        <v>2.3479513342536116</v>
      </c>
      <c r="M35" s="57">
        <v>4.2242530073498603</v>
      </c>
      <c r="N35" s="57">
        <v>1.3302558806522666</v>
      </c>
      <c r="O35" s="57">
        <v>984.36333333333334</v>
      </c>
      <c r="P35" s="58">
        <v>759.91018999999994</v>
      </c>
    </row>
    <row r="36" spans="1:16" ht="15" customHeight="1" x14ac:dyDescent="0.2">
      <c r="A36" s="8" t="s">
        <v>417</v>
      </c>
      <c r="B36" s="91">
        <v>9231.5760000000009</v>
      </c>
      <c r="C36" s="91">
        <v>5271.13</v>
      </c>
      <c r="D36" s="91">
        <v>35.900000000000006</v>
      </c>
      <c r="E36" s="91">
        <v>131.67032345999999</v>
      </c>
      <c r="F36" s="91">
        <v>7265.6368520000005</v>
      </c>
      <c r="G36" s="91">
        <v>8533.0107060000009</v>
      </c>
      <c r="H36" s="91">
        <v>32.848345999999999</v>
      </c>
      <c r="I36" s="91">
        <v>20013.920722000003</v>
      </c>
      <c r="J36" s="91">
        <v>35845.416625999998</v>
      </c>
      <c r="K36" s="91">
        <v>120.97891575111355</v>
      </c>
      <c r="L36" s="60">
        <v>2.6695474918009907</v>
      </c>
      <c r="M36" s="60">
        <v>5.4171943141026553</v>
      </c>
      <c r="N36" s="60">
        <v>3.0588120789551798</v>
      </c>
      <c r="O36" s="60">
        <v>1174.7081333333333</v>
      </c>
      <c r="P36" s="61">
        <v>849.8637500000001</v>
      </c>
    </row>
    <row r="37" spans="1:16" ht="15" customHeight="1" x14ac:dyDescent="0.2">
      <c r="A37" s="8" t="s">
        <v>416</v>
      </c>
      <c r="B37" s="91">
        <v>11336.504000000001</v>
      </c>
      <c r="C37" s="91">
        <v>5880.9629999999997</v>
      </c>
      <c r="D37" s="91">
        <v>41.83</v>
      </c>
      <c r="E37" s="91">
        <v>156.20404859000001</v>
      </c>
      <c r="F37" s="91">
        <v>9702.3958270000003</v>
      </c>
      <c r="G37" s="91">
        <v>10140.211777</v>
      </c>
      <c r="H37" s="91">
        <v>30.834657999999997</v>
      </c>
      <c r="I37" s="91">
        <v>18358.429738999999</v>
      </c>
      <c r="J37" s="91">
        <v>38231.872000999996</v>
      </c>
      <c r="K37" s="91">
        <v>127.70710933464161</v>
      </c>
      <c r="L37" s="60">
        <v>2.7972076490021518</v>
      </c>
      <c r="M37" s="60">
        <v>5.7328218839207663</v>
      </c>
      <c r="N37" s="60">
        <v>2.8162101721195274</v>
      </c>
      <c r="O37" s="60">
        <v>1231.9705866666666</v>
      </c>
      <c r="P37" s="61">
        <v>911.15970000000004</v>
      </c>
    </row>
    <row r="38" spans="1:16" ht="15" customHeight="1" x14ac:dyDescent="0.2">
      <c r="A38" s="8" t="s">
        <v>418</v>
      </c>
      <c r="B38" s="91">
        <v>17110.126</v>
      </c>
      <c r="C38" s="91">
        <v>7892.0709999999999</v>
      </c>
      <c r="D38" s="91">
        <v>388.52499999999998</v>
      </c>
      <c r="E38" s="91">
        <v>228.44527320999998</v>
      </c>
      <c r="F38" s="91">
        <v>15543.155449</v>
      </c>
      <c r="G38" s="91">
        <v>13366.154759999999</v>
      </c>
      <c r="H38" s="91">
        <v>226.57892200000003</v>
      </c>
      <c r="I38" s="91">
        <v>24273.837852000001</v>
      </c>
      <c r="J38" s="91">
        <v>53409.726983</v>
      </c>
      <c r="K38" s="91">
        <v>177.08877504455222</v>
      </c>
      <c r="L38" s="60">
        <v>3.0137616847131263</v>
      </c>
      <c r="M38" s="60">
        <v>5.6127983796361676</v>
      </c>
      <c r="N38" s="60">
        <v>2.0472210508263502</v>
      </c>
      <c r="O38" s="60">
        <v>1101.8611366666667</v>
      </c>
      <c r="P38" s="61">
        <v>889.81745999999987</v>
      </c>
    </row>
    <row r="39" spans="1:16" ht="15" customHeight="1" x14ac:dyDescent="0.2">
      <c r="A39" s="8" t="s">
        <v>419</v>
      </c>
      <c r="B39" s="91">
        <v>14444.448000000002</v>
      </c>
      <c r="C39" s="91">
        <v>7626.9830000000002</v>
      </c>
      <c r="D39" s="91">
        <v>319.75</v>
      </c>
      <c r="E39" s="91">
        <v>201.73047183</v>
      </c>
      <c r="F39" s="91">
        <v>12726.315225</v>
      </c>
      <c r="G39" s="91">
        <v>12629.742489999999</v>
      </c>
      <c r="H39" s="91">
        <v>179.722352</v>
      </c>
      <c r="I39" s="91">
        <v>19677.758620000001</v>
      </c>
      <c r="J39" s="91">
        <v>45213.538687</v>
      </c>
      <c r="K39" s="91">
        <v>147.76676968330636</v>
      </c>
      <c r="L39" s="60">
        <v>2.8972613102229374</v>
      </c>
      <c r="M39" s="60">
        <v>5.4125542517879905</v>
      </c>
      <c r="N39" s="60">
        <v>1.8046471087014828</v>
      </c>
      <c r="O39" s="60">
        <v>1022.2076733333333</v>
      </c>
      <c r="P39" s="61">
        <v>866.51058</v>
      </c>
    </row>
    <row r="40" spans="1:16" ht="15" customHeight="1" x14ac:dyDescent="0.2">
      <c r="A40" s="9" t="s">
        <v>420</v>
      </c>
      <c r="B40" s="90">
        <v>14468.334000000001</v>
      </c>
      <c r="C40" s="90">
        <v>7735.987000000001</v>
      </c>
      <c r="D40" s="90">
        <v>151</v>
      </c>
      <c r="E40" s="90">
        <v>202.02465239000003</v>
      </c>
      <c r="F40" s="90">
        <v>10274.924292</v>
      </c>
      <c r="G40" s="90">
        <v>12066.090891</v>
      </c>
      <c r="H40" s="90">
        <v>88.736828000000003</v>
      </c>
      <c r="I40" s="90">
        <v>21701.402976999998</v>
      </c>
      <c r="J40" s="90">
        <v>44131.154988000002</v>
      </c>
      <c r="K40" s="90">
        <v>142.19431741304578</v>
      </c>
      <c r="L40" s="57">
        <v>2.2857076838516956</v>
      </c>
      <c r="M40" s="57">
        <v>5.0388060344678918</v>
      </c>
      <c r="N40" s="57">
        <v>1.8958848876088197</v>
      </c>
      <c r="O40" s="57">
        <v>769.70208333333323</v>
      </c>
      <c r="P40" s="57">
        <v>884.94093444444445</v>
      </c>
    </row>
    <row r="41" spans="1:16" ht="15" customHeight="1" x14ac:dyDescent="0.2">
      <c r="A41" s="8"/>
      <c r="B41" s="91"/>
      <c r="C41" s="91"/>
      <c r="D41" s="91"/>
      <c r="E41" s="91"/>
      <c r="F41" s="91"/>
      <c r="G41" s="91"/>
      <c r="H41" s="91"/>
      <c r="I41" s="91"/>
      <c r="J41" s="91"/>
      <c r="K41" s="91"/>
      <c r="L41" s="60"/>
      <c r="M41" s="60"/>
      <c r="N41" s="60"/>
      <c r="O41" s="60"/>
      <c r="P41" s="61"/>
    </row>
    <row r="42" spans="1:16" ht="15" customHeight="1" x14ac:dyDescent="0.2">
      <c r="A42" s="10">
        <v>43831</v>
      </c>
      <c r="B42" s="90">
        <v>3964.0590000000002</v>
      </c>
      <c r="C42" s="95">
        <v>1278.8630000000001</v>
      </c>
      <c r="D42" s="90">
        <v>514.61900000000003</v>
      </c>
      <c r="E42" s="95">
        <v>50.177855890000004</v>
      </c>
      <c r="F42" s="90">
        <v>1097.3180649999999</v>
      </c>
      <c r="G42" s="95">
        <v>844.700962</v>
      </c>
      <c r="H42" s="90">
        <v>129.86429100000001</v>
      </c>
      <c r="I42" s="95">
        <v>2382.1852820000004</v>
      </c>
      <c r="J42" s="90">
        <v>4454.0686000000005</v>
      </c>
      <c r="K42" s="95">
        <v>24.553363880319907</v>
      </c>
      <c r="L42" s="58">
        <v>1.5259718344111095</v>
      </c>
      <c r="M42" s="57">
        <v>3.6411038404352696</v>
      </c>
      <c r="N42" s="58">
        <v>1.3910989755029843</v>
      </c>
      <c r="O42" s="57">
        <v>376.67</v>
      </c>
      <c r="P42" s="58">
        <v>373.57</v>
      </c>
    </row>
    <row r="43" spans="1:16" ht="15" customHeight="1" x14ac:dyDescent="0.2">
      <c r="A43" s="10">
        <v>43862</v>
      </c>
      <c r="B43" s="90">
        <v>4653.027</v>
      </c>
      <c r="C43" s="95">
        <v>1082.049</v>
      </c>
      <c r="D43" s="90">
        <v>271.75</v>
      </c>
      <c r="E43" s="95">
        <v>53.194700170000004</v>
      </c>
      <c r="F43" s="90">
        <v>1391.8733159999999</v>
      </c>
      <c r="G43" s="95">
        <v>792.38308700000005</v>
      </c>
      <c r="H43" s="90">
        <v>69.823374999999999</v>
      </c>
      <c r="I43" s="95">
        <v>2496.7534950000004</v>
      </c>
      <c r="J43" s="90">
        <v>4750.8332730000002</v>
      </c>
      <c r="K43" s="95">
        <v>26.166336237379021</v>
      </c>
      <c r="L43" s="58">
        <v>1.6475449210435413</v>
      </c>
      <c r="M43" s="57">
        <v>4.0333080902715253</v>
      </c>
      <c r="N43" s="58">
        <v>1.415156311812241</v>
      </c>
      <c r="O43" s="57">
        <v>399.79</v>
      </c>
      <c r="P43" s="58">
        <v>405.56</v>
      </c>
    </row>
    <row r="44" spans="1:16" ht="15" customHeight="1" x14ac:dyDescent="0.2">
      <c r="A44" s="10">
        <v>43891</v>
      </c>
      <c r="B44" s="90">
        <v>3177.3250000000003</v>
      </c>
      <c r="C44" s="95">
        <v>847.43200000000002</v>
      </c>
      <c r="D44" s="90">
        <v>115.5</v>
      </c>
      <c r="E44" s="95">
        <v>36.942827999999999</v>
      </c>
      <c r="F44" s="90">
        <v>1013.8853350000001</v>
      </c>
      <c r="G44" s="95">
        <v>561.68222700000001</v>
      </c>
      <c r="H44" s="90">
        <v>30.557991999999999</v>
      </c>
      <c r="I44" s="95">
        <v>2040.5409810000001</v>
      </c>
      <c r="J44" s="90">
        <v>3646.6665350000003</v>
      </c>
      <c r="K44" s="95">
        <v>19.705671477984858</v>
      </c>
      <c r="L44" s="58">
        <v>1.7243379564869672</v>
      </c>
      <c r="M44" s="57">
        <v>3.5816323920471382</v>
      </c>
      <c r="N44" s="58">
        <v>1.429677278949421</v>
      </c>
      <c r="O44" s="57">
        <v>391.11</v>
      </c>
      <c r="P44" s="58">
        <v>400</v>
      </c>
    </row>
    <row r="45" spans="1:16" ht="15" customHeight="1" x14ac:dyDescent="0.2">
      <c r="A45" s="10">
        <v>43922</v>
      </c>
      <c r="B45" s="90">
        <v>1809.7529999999999</v>
      </c>
      <c r="C45" s="95">
        <v>779.73</v>
      </c>
      <c r="D45" s="90">
        <v>32.050000000000004</v>
      </c>
      <c r="E45" s="95">
        <v>23.60416438</v>
      </c>
      <c r="F45" s="90">
        <v>688.00332400000002</v>
      </c>
      <c r="G45" s="95">
        <v>526.574928</v>
      </c>
      <c r="H45" s="90">
        <v>9.3951320000000003</v>
      </c>
      <c r="I45" s="95">
        <v>1534.3391190000002</v>
      </c>
      <c r="J45" s="90">
        <v>2758.3125030000001</v>
      </c>
      <c r="K45" s="95">
        <v>14.285453498814515</v>
      </c>
      <c r="L45" s="58">
        <v>1.9688915498756141</v>
      </c>
      <c r="M45" s="57">
        <v>3.4975706581460062</v>
      </c>
      <c r="N45" s="58">
        <v>1.5181875169938261</v>
      </c>
      <c r="O45" s="57"/>
      <c r="P45" s="58"/>
    </row>
    <row r="46" spans="1:16" ht="15" customHeight="1" x14ac:dyDescent="0.2">
      <c r="A46" s="10">
        <v>43952</v>
      </c>
      <c r="B46" s="90">
        <v>2652.9389999999999</v>
      </c>
      <c r="C46" s="95">
        <v>1570.807</v>
      </c>
      <c r="D46" s="90">
        <v>20.75</v>
      </c>
      <c r="E46" s="95">
        <v>38.414423190000008</v>
      </c>
      <c r="F46" s="90">
        <v>1013.467989</v>
      </c>
      <c r="G46" s="95">
        <v>1103.267073</v>
      </c>
      <c r="H46" s="90">
        <v>5.8443490000000002</v>
      </c>
      <c r="I46" s="95">
        <v>3110.3573879999999</v>
      </c>
      <c r="J46" s="90">
        <v>5232.9367990000001</v>
      </c>
      <c r="K46" s="95">
        <v>27.854772304580415</v>
      </c>
      <c r="L46" s="58">
        <v>2.0334659037583971</v>
      </c>
      <c r="M46" s="57">
        <v>3.7386253986543116</v>
      </c>
      <c r="N46" s="58">
        <v>1.4992434646899415</v>
      </c>
      <c r="O46" s="57">
        <v>415</v>
      </c>
      <c r="P46" s="58">
        <v>492.21</v>
      </c>
    </row>
    <row r="47" spans="1:16" ht="15" customHeight="1" x14ac:dyDescent="0.2">
      <c r="A47" s="10">
        <v>43983</v>
      </c>
      <c r="B47" s="90">
        <v>3735.326</v>
      </c>
      <c r="C47" s="95">
        <v>1857.0359999999998</v>
      </c>
      <c r="D47" s="90">
        <v>0.158</v>
      </c>
      <c r="E47" s="95">
        <v>50.646972960000006</v>
      </c>
      <c r="F47" s="90">
        <v>1410.890652</v>
      </c>
      <c r="G47" s="95">
        <v>1367.571338</v>
      </c>
      <c r="H47" s="90">
        <v>1.651143</v>
      </c>
      <c r="I47" s="95">
        <v>3585.7018390000003</v>
      </c>
      <c r="J47" s="90">
        <v>6365.8149720000001</v>
      </c>
      <c r="K47" s="95">
        <v>34.233185924513791</v>
      </c>
      <c r="L47" s="58">
        <v>2.0312255592776323</v>
      </c>
      <c r="M47" s="57">
        <v>3.9602533925692485</v>
      </c>
      <c r="N47" s="58">
        <v>56.198006242918211</v>
      </c>
      <c r="O47" s="57">
        <v>415.34</v>
      </c>
      <c r="P47" s="58">
        <v>501.25</v>
      </c>
    </row>
    <row r="48" spans="1:16" ht="15" customHeight="1" x14ac:dyDescent="0.2">
      <c r="A48" s="10">
        <v>44013</v>
      </c>
      <c r="B48" s="90">
        <v>5138.5140000000001</v>
      </c>
      <c r="C48" s="95">
        <v>2365.6709999999998</v>
      </c>
      <c r="D48" s="90">
        <v>43.75</v>
      </c>
      <c r="E48" s="95">
        <v>68.164167190000001</v>
      </c>
      <c r="F48" s="90">
        <v>1833.583392</v>
      </c>
      <c r="G48" s="95">
        <v>1740.1233420000001</v>
      </c>
      <c r="H48" s="90">
        <v>14.952356</v>
      </c>
      <c r="I48" s="95">
        <v>3993.8692270000001</v>
      </c>
      <c r="J48" s="90">
        <v>7582.5283170000002</v>
      </c>
      <c r="K48" s="95">
        <v>40.799469229539945</v>
      </c>
      <c r="L48" s="58">
        <v>1.9200104609715827</v>
      </c>
      <c r="M48" s="57">
        <v>3.9579122293918423</v>
      </c>
      <c r="N48" s="58">
        <v>1.8389589872991157</v>
      </c>
      <c r="O48" s="57">
        <v>406.09</v>
      </c>
      <c r="P48" s="58">
        <v>461.74</v>
      </c>
    </row>
    <row r="49" spans="1:16" ht="15" customHeight="1" x14ac:dyDescent="0.2">
      <c r="A49" s="10">
        <v>44044</v>
      </c>
      <c r="B49" s="90">
        <v>3982.0650000000001</v>
      </c>
      <c r="C49" s="95">
        <v>2319.1909999999998</v>
      </c>
      <c r="D49" s="90"/>
      <c r="E49" s="95">
        <v>57.131819150000005</v>
      </c>
      <c r="F49" s="90">
        <v>1467.5678190000001</v>
      </c>
      <c r="G49" s="95">
        <v>1681.243559</v>
      </c>
      <c r="H49" s="90"/>
      <c r="I49" s="95">
        <v>3123.9627569999998</v>
      </c>
      <c r="J49" s="90">
        <v>6272.7741349999997</v>
      </c>
      <c r="K49" s="95">
        <v>33.926344433212776</v>
      </c>
      <c r="L49" s="58">
        <v>1.993275147391167</v>
      </c>
      <c r="M49" s="57">
        <v>3.9207715062354467</v>
      </c>
      <c r="N49" s="58"/>
      <c r="O49" s="57">
        <v>446.21</v>
      </c>
      <c r="P49" s="58">
        <v>440.97</v>
      </c>
    </row>
    <row r="50" spans="1:16" ht="15" customHeight="1" x14ac:dyDescent="0.2">
      <c r="A50" s="10">
        <v>44075</v>
      </c>
      <c r="B50" s="90">
        <v>4305.7749999999996</v>
      </c>
      <c r="C50" s="95">
        <v>2449.0549999999998</v>
      </c>
      <c r="D50" s="90">
        <v>22.304000000000002</v>
      </c>
      <c r="E50" s="95">
        <v>61.356174750000001</v>
      </c>
      <c r="F50" s="90">
        <v>1686.520358</v>
      </c>
      <c r="G50" s="95">
        <v>1851.272344</v>
      </c>
      <c r="H50" s="90">
        <v>10.423831</v>
      </c>
      <c r="I50" s="95">
        <v>3070.7993100000003</v>
      </c>
      <c r="J50" s="90">
        <v>6619.0158429999992</v>
      </c>
      <c r="K50" s="95">
        <v>35.77233437837949</v>
      </c>
      <c r="L50" s="58">
        <v>2.1168696534901952</v>
      </c>
      <c r="M50" s="57">
        <v>4.0853158205557385</v>
      </c>
      <c r="N50" s="58">
        <v>2.5257971345526524</v>
      </c>
      <c r="O50" s="57">
        <v>465.49</v>
      </c>
      <c r="P50" s="58">
        <v>447.98</v>
      </c>
    </row>
    <row r="51" spans="1:16" ht="15" customHeight="1" x14ac:dyDescent="0.2">
      <c r="A51" s="10">
        <v>44105</v>
      </c>
      <c r="B51" s="90">
        <v>3770.7139999999999</v>
      </c>
      <c r="C51" s="95">
        <v>2054.2379999999998</v>
      </c>
      <c r="D51" s="90">
        <v>28.85</v>
      </c>
      <c r="E51" s="95">
        <v>52.945973940000002</v>
      </c>
      <c r="F51" s="90">
        <v>1333.740391</v>
      </c>
      <c r="G51" s="95">
        <v>1572.07853</v>
      </c>
      <c r="H51" s="90">
        <v>10.429168000000001</v>
      </c>
      <c r="I51" s="95">
        <v>3078.8271</v>
      </c>
      <c r="J51" s="90">
        <v>5995.0751890000001</v>
      </c>
      <c r="K51" s="95">
        <v>32.504573024307909</v>
      </c>
      <c r="L51" s="58">
        <v>1.9177745077141157</v>
      </c>
      <c r="M51" s="57">
        <v>4.1492854118099594</v>
      </c>
      <c r="N51" s="58">
        <v>1.9599891950687929</v>
      </c>
      <c r="O51" s="57">
        <v>476.22</v>
      </c>
      <c r="P51" s="58">
        <v>445.28</v>
      </c>
    </row>
    <row r="52" spans="1:16" ht="15" customHeight="1" x14ac:dyDescent="0.2">
      <c r="A52" s="10">
        <v>44136</v>
      </c>
      <c r="B52" s="90">
        <v>2972.1750000000002</v>
      </c>
      <c r="C52" s="95">
        <v>1772.8120000000001</v>
      </c>
      <c r="D52" s="90">
        <v>21.978999999999999</v>
      </c>
      <c r="E52" s="95">
        <v>43.150083500000008</v>
      </c>
      <c r="F52" s="90">
        <v>1187.632844</v>
      </c>
      <c r="G52" s="95">
        <v>1355.2931610000001</v>
      </c>
      <c r="H52" s="90">
        <v>9.3684290000000008</v>
      </c>
      <c r="I52" s="95">
        <v>2732.2595529999999</v>
      </c>
      <c r="J52" s="90">
        <v>5284.5539869999993</v>
      </c>
      <c r="K52" s="95">
        <v>28.597897414445296</v>
      </c>
      <c r="L52" s="58">
        <v>2.1623878255477158</v>
      </c>
      <c r="M52" s="57">
        <v>4.1371029569743456</v>
      </c>
      <c r="N52" s="58">
        <v>2.3066654235359891</v>
      </c>
      <c r="O52" s="57">
        <v>549.5</v>
      </c>
      <c r="P52" s="58">
        <v>470.6</v>
      </c>
    </row>
    <row r="53" spans="1:16" ht="15" customHeight="1" x14ac:dyDescent="0.2">
      <c r="A53" s="10">
        <v>44166</v>
      </c>
      <c r="B53" s="90">
        <v>2881.511</v>
      </c>
      <c r="C53" s="95">
        <v>1387.078</v>
      </c>
      <c r="D53" s="90">
        <v>10</v>
      </c>
      <c r="E53" s="95">
        <v>38.703810060000002</v>
      </c>
      <c r="F53" s="90">
        <v>1217.200585</v>
      </c>
      <c r="G53" s="95">
        <v>1186.254062</v>
      </c>
      <c r="H53" s="90">
        <v>4.1390799999999999</v>
      </c>
      <c r="I53" s="95">
        <v>2603.694109</v>
      </c>
      <c r="J53" s="90">
        <v>5011.2878359999995</v>
      </c>
      <c r="K53" s="95">
        <v>26.772245630193471</v>
      </c>
      <c r="L53" s="58">
        <v>2.2567181575765534</v>
      </c>
      <c r="M53" s="57">
        <v>4.568906616477296</v>
      </c>
      <c r="N53" s="58">
        <v>2.2112572669837198</v>
      </c>
      <c r="O53" s="57">
        <v>581.73</v>
      </c>
      <c r="P53" s="58">
        <v>488.1</v>
      </c>
    </row>
    <row r="54" spans="1:16" ht="15" customHeight="1" x14ac:dyDescent="0.2">
      <c r="A54" s="11">
        <v>44197</v>
      </c>
      <c r="B54" s="91">
        <v>2382.261</v>
      </c>
      <c r="C54" s="97">
        <v>864.73</v>
      </c>
      <c r="D54" s="91">
        <v>0.57899999999999996</v>
      </c>
      <c r="E54" s="97">
        <v>29.346995560000007</v>
      </c>
      <c r="F54" s="91">
        <v>991.78983900000003</v>
      </c>
      <c r="G54" s="97">
        <v>803.76005499999997</v>
      </c>
      <c r="H54" s="91">
        <v>0.77628200000000003</v>
      </c>
      <c r="I54" s="97">
        <v>2805.1766670000002</v>
      </c>
      <c r="J54" s="91">
        <v>4601.5028430000002</v>
      </c>
      <c r="K54" s="97">
        <v>24.155910348896906</v>
      </c>
      <c r="L54" s="61">
        <v>2.1855161900962021</v>
      </c>
      <c r="M54" s="60">
        <v>4.879435788477279</v>
      </c>
      <c r="N54" s="61">
        <v>7.0382496403124435</v>
      </c>
      <c r="O54" s="60">
        <v>578.79</v>
      </c>
      <c r="P54" s="61">
        <v>505.39</v>
      </c>
    </row>
    <row r="55" spans="1:16" ht="15" customHeight="1" x14ac:dyDescent="0.2">
      <c r="A55" s="11">
        <v>44228</v>
      </c>
      <c r="B55" s="91">
        <v>3617.3780000000002</v>
      </c>
      <c r="C55" s="97">
        <v>1261.1209999999999</v>
      </c>
      <c r="D55" s="91">
        <v>11.2</v>
      </c>
      <c r="E55" s="97">
        <v>44.13867613</v>
      </c>
      <c r="F55" s="91">
        <v>1431.3236629999999</v>
      </c>
      <c r="G55" s="97">
        <v>1113.068215</v>
      </c>
      <c r="H55" s="91">
        <v>5.3299269999999996</v>
      </c>
      <c r="I55" s="97">
        <v>3447.9115350000002</v>
      </c>
      <c r="J55" s="91">
        <v>5997.6333400000003</v>
      </c>
      <c r="K55" s="97">
        <v>30.905042034560317</v>
      </c>
      <c r="L55" s="61">
        <v>2.0388880704255485</v>
      </c>
      <c r="M55" s="60">
        <v>4.5479371062135501</v>
      </c>
      <c r="N55" s="61">
        <v>2.4521817999794622</v>
      </c>
      <c r="O55" s="60">
        <v>612.02</v>
      </c>
      <c r="P55" s="61">
        <v>516.25</v>
      </c>
    </row>
    <row r="56" spans="1:16" ht="15" customHeight="1" x14ac:dyDescent="0.2">
      <c r="A56" s="11">
        <v>44256</v>
      </c>
      <c r="B56" s="91">
        <v>4553.4480000000003</v>
      </c>
      <c r="C56" s="97">
        <v>1709.1579999999999</v>
      </c>
      <c r="D56" s="91">
        <v>11</v>
      </c>
      <c r="E56" s="97">
        <v>56.669105580000007</v>
      </c>
      <c r="F56" s="91">
        <v>1998.4659360000001</v>
      </c>
      <c r="G56" s="97">
        <v>1638.4573419999999</v>
      </c>
      <c r="H56" s="91">
        <v>6.419092</v>
      </c>
      <c r="I56" s="97">
        <v>4478.7058819999993</v>
      </c>
      <c r="J56" s="91">
        <v>8122.0482520000005</v>
      </c>
      <c r="K56" s="97">
        <v>41.232334100744993</v>
      </c>
      <c r="L56" s="61">
        <v>2.2280694493554125</v>
      </c>
      <c r="M56" s="60">
        <v>4.8665958526792803</v>
      </c>
      <c r="N56" s="61">
        <v>2.962465285910262</v>
      </c>
      <c r="O56" s="60">
        <v>512.67999999999995</v>
      </c>
      <c r="P56" s="61">
        <v>513.75</v>
      </c>
    </row>
    <row r="57" spans="1:16" ht="15" customHeight="1" x14ac:dyDescent="0.2">
      <c r="A57" s="11">
        <v>44287</v>
      </c>
      <c r="B57" s="91">
        <v>2591.2579999999998</v>
      </c>
      <c r="C57" s="97">
        <v>1125.2940000000001</v>
      </c>
      <c r="D57" s="91">
        <v>21</v>
      </c>
      <c r="E57" s="97">
        <v>33.742141179999997</v>
      </c>
      <c r="F57" s="91">
        <v>1448.103235</v>
      </c>
      <c r="G57" s="97">
        <v>1034.752847</v>
      </c>
      <c r="H57" s="91">
        <v>7.1491059999999997</v>
      </c>
      <c r="I57" s="97">
        <v>2905.2303449999999</v>
      </c>
      <c r="J57" s="91">
        <v>5395.235533</v>
      </c>
      <c r="K57" s="97">
        <v>27.328302847185991</v>
      </c>
      <c r="L57" s="61">
        <v>2.8306822442692754</v>
      </c>
      <c r="M57" s="60">
        <v>4.6577146633907436</v>
      </c>
      <c r="N57" s="61">
        <v>1.7243868194061436</v>
      </c>
      <c r="O57" s="60">
        <v>534.75</v>
      </c>
      <c r="P57" s="61">
        <v>652.66999999999996</v>
      </c>
    </row>
    <row r="58" spans="1:16" ht="15" customHeight="1" x14ac:dyDescent="0.2">
      <c r="A58" s="11">
        <v>44317</v>
      </c>
      <c r="B58" s="91">
        <v>3267.799</v>
      </c>
      <c r="C58" s="97">
        <v>1376.0150000000001</v>
      </c>
      <c r="D58" s="91">
        <v>9.75</v>
      </c>
      <c r="E58" s="97">
        <v>42.061242790000001</v>
      </c>
      <c r="F58" s="91">
        <v>1808.7842439999999</v>
      </c>
      <c r="G58" s="97">
        <v>1313.563852</v>
      </c>
      <c r="H58" s="91">
        <v>5.029236</v>
      </c>
      <c r="I58" s="97">
        <v>3668.1261910000003</v>
      </c>
      <c r="J58" s="91">
        <v>6795.5035229999994</v>
      </c>
      <c r="K58" s="97">
        <v>34.048218741216139</v>
      </c>
      <c r="L58" s="61">
        <v>2.7733468305759286</v>
      </c>
      <c r="M58" s="60">
        <v>4.783004338678996</v>
      </c>
      <c r="N58" s="61">
        <v>2.5844620199999144</v>
      </c>
      <c r="O58" s="60">
        <v>572.58000000000004</v>
      </c>
      <c r="P58" s="61">
        <v>741.09</v>
      </c>
    </row>
    <row r="59" spans="1:16" ht="15" customHeight="1" x14ac:dyDescent="0.2">
      <c r="A59" s="11">
        <v>44348</v>
      </c>
      <c r="B59" s="91">
        <v>3998.194</v>
      </c>
      <c r="C59" s="97">
        <v>1900.8529999999998</v>
      </c>
      <c r="D59" s="91">
        <v>11.25</v>
      </c>
      <c r="E59" s="97">
        <v>53.46858349</v>
      </c>
      <c r="F59" s="91">
        <v>1837.6894359999999</v>
      </c>
      <c r="G59" s="97">
        <v>1634.5852669999999</v>
      </c>
      <c r="H59" s="91">
        <v>5.8203950000000004</v>
      </c>
      <c r="I59" s="97">
        <v>4229.0980300000001</v>
      </c>
      <c r="J59" s="91">
        <v>7707.1931279999999</v>
      </c>
      <c r="K59" s="97">
        <v>38.571432071790014</v>
      </c>
      <c r="L59" s="61">
        <v>2.3002645026685742</v>
      </c>
      <c r="M59" s="60">
        <v>4.3035670076394492</v>
      </c>
      <c r="N59" s="61">
        <v>2.589223012782476</v>
      </c>
      <c r="O59" s="60">
        <v>550.29999999999995</v>
      </c>
      <c r="P59" s="61">
        <v>690.24</v>
      </c>
    </row>
    <row r="60" spans="1:16" ht="15" customHeight="1" x14ac:dyDescent="0.2">
      <c r="A60" s="11">
        <v>44378</v>
      </c>
      <c r="B60" s="91">
        <v>4478.6530000000002</v>
      </c>
      <c r="C60" s="97">
        <v>1704.845</v>
      </c>
      <c r="D60" s="91">
        <v>11</v>
      </c>
      <c r="E60" s="97">
        <v>55.959047130000002</v>
      </c>
      <c r="F60" s="91">
        <v>2174.6983279999999</v>
      </c>
      <c r="G60" s="97">
        <v>1694.9176259999999</v>
      </c>
      <c r="H60" s="91">
        <v>5.3564990000000003</v>
      </c>
      <c r="I60" s="97">
        <v>4246.1413949999996</v>
      </c>
      <c r="J60" s="91">
        <v>8121.1138479999991</v>
      </c>
      <c r="K60" s="97">
        <v>40.610076958542393</v>
      </c>
      <c r="L60" s="61">
        <v>2.4281181711463695</v>
      </c>
      <c r="M60" s="60">
        <v>4.9714366489090924</v>
      </c>
      <c r="N60" s="61">
        <v>2.4350425624517045</v>
      </c>
      <c r="O60" s="60">
        <v>507.56</v>
      </c>
      <c r="P60" s="61">
        <v>615.63</v>
      </c>
    </row>
    <row r="61" spans="1:16" ht="15" customHeight="1" x14ac:dyDescent="0.2">
      <c r="A61" s="11">
        <v>44409</v>
      </c>
      <c r="B61" s="91">
        <v>4647.03</v>
      </c>
      <c r="C61" s="97">
        <v>1700.2829999999999</v>
      </c>
      <c r="D61" s="91">
        <v>283</v>
      </c>
      <c r="E61" s="97">
        <v>58.921506550000004</v>
      </c>
      <c r="F61" s="91">
        <v>2272.819583</v>
      </c>
      <c r="G61" s="97">
        <v>1546.0053150000001</v>
      </c>
      <c r="H61" s="91">
        <v>93.710226000000006</v>
      </c>
      <c r="I61" s="97">
        <v>4121.9226410000001</v>
      </c>
      <c r="J61" s="91">
        <v>8034.4577650000001</v>
      </c>
      <c r="K61" s="97">
        <v>40.072808078944021</v>
      </c>
      <c r="L61" s="61">
        <v>2.4393981539239009</v>
      </c>
      <c r="M61" s="60">
        <v>4.5350593428938302</v>
      </c>
      <c r="N61" s="61">
        <v>1.6515577111622519</v>
      </c>
      <c r="O61" s="60">
        <v>512.44000000000005</v>
      </c>
      <c r="P61" s="61">
        <v>591.82000000000005</v>
      </c>
    </row>
    <row r="62" spans="1:16" ht="15" customHeight="1" x14ac:dyDescent="0.2">
      <c r="A62" s="11">
        <v>44440</v>
      </c>
      <c r="B62" s="91">
        <v>4854</v>
      </c>
      <c r="C62" s="97">
        <v>1524.279</v>
      </c>
      <c r="D62" s="91">
        <v>342.75</v>
      </c>
      <c r="E62" s="97">
        <v>59.476545750000007</v>
      </c>
      <c r="F62" s="91">
        <v>2009.8223230000001</v>
      </c>
      <c r="G62" s="97">
        <v>1385.6510949999999</v>
      </c>
      <c r="H62" s="91">
        <v>100.968767</v>
      </c>
      <c r="I62" s="97">
        <v>3732.6975849999999</v>
      </c>
      <c r="J62" s="91">
        <v>7229.1397699999998</v>
      </c>
      <c r="K62" s="97">
        <v>35.790336597919257</v>
      </c>
      <c r="L62" s="61">
        <v>2.0499206711950535</v>
      </c>
      <c r="M62" s="60">
        <v>4.5005810180968542</v>
      </c>
      <c r="N62" s="61">
        <v>1.4584406164959092</v>
      </c>
      <c r="O62" s="60">
        <v>519.4</v>
      </c>
      <c r="P62" s="61">
        <v>588.1</v>
      </c>
    </row>
    <row r="63" spans="1:16" ht="15" customHeight="1" x14ac:dyDescent="0.2">
      <c r="A63" s="11">
        <v>44470</v>
      </c>
      <c r="B63" s="91">
        <v>5486.5240000000003</v>
      </c>
      <c r="C63" s="97">
        <v>1793.49</v>
      </c>
      <c r="D63" s="91">
        <v>84.5</v>
      </c>
      <c r="E63" s="97">
        <v>66.213787539999998</v>
      </c>
      <c r="F63" s="91">
        <v>2527.6970569999999</v>
      </c>
      <c r="G63" s="97">
        <v>1477.6497079999999</v>
      </c>
      <c r="H63" s="91">
        <v>27.702283999999999</v>
      </c>
      <c r="I63" s="97">
        <v>4080.1367970000001</v>
      </c>
      <c r="J63" s="91">
        <v>8113.1858460000003</v>
      </c>
      <c r="K63" s="97">
        <v>40.346063357732042</v>
      </c>
      <c r="L63" s="61">
        <v>2.2910653723414063</v>
      </c>
      <c r="M63" s="60">
        <v>4.0971538729402122</v>
      </c>
      <c r="N63" s="61">
        <v>1.63030406038977</v>
      </c>
      <c r="O63" s="60">
        <v>500.2</v>
      </c>
      <c r="P63" s="61">
        <v>576.04999999999995</v>
      </c>
    </row>
    <row r="64" spans="1:16" ht="15" customHeight="1" x14ac:dyDescent="0.2">
      <c r="A64" s="11">
        <v>44501</v>
      </c>
      <c r="B64" s="91">
        <v>4471.8049999999994</v>
      </c>
      <c r="C64" s="97">
        <v>2265.5370000000003</v>
      </c>
      <c r="D64" s="91">
        <v>10.4</v>
      </c>
      <c r="E64" s="97">
        <v>61.080790050000004</v>
      </c>
      <c r="F64" s="91">
        <v>2241.9203429999998</v>
      </c>
      <c r="G64" s="97">
        <v>2031.5748129999999</v>
      </c>
      <c r="H64" s="91">
        <v>2.6958289999999998</v>
      </c>
      <c r="I64" s="97">
        <v>3959.7245379999999</v>
      </c>
      <c r="J64" s="91">
        <v>8235.9155229999997</v>
      </c>
      <c r="K64" s="97">
        <v>40.800500167939674</v>
      </c>
      <c r="L64" s="61">
        <v>2.4836530306508409</v>
      </c>
      <c r="M64" s="60">
        <v>4.442375489838053</v>
      </c>
      <c r="N64" s="61">
        <v>1.2841406835247562</v>
      </c>
      <c r="O64" s="60">
        <v>534.88</v>
      </c>
      <c r="P64" s="61">
        <v>613.5</v>
      </c>
    </row>
    <row r="65" spans="1:16" ht="15" customHeight="1" x14ac:dyDescent="0.2">
      <c r="A65" s="11">
        <v>44531</v>
      </c>
      <c r="B65" s="91">
        <v>4141.9569999999994</v>
      </c>
      <c r="C65" s="97">
        <v>1559.4360000000001</v>
      </c>
      <c r="D65" s="91">
        <v>31.5</v>
      </c>
      <c r="E65" s="97">
        <v>51.709967720000002</v>
      </c>
      <c r="F65" s="91">
        <v>1971.7891970000001</v>
      </c>
      <c r="G65" s="97">
        <v>1389.9535089999999</v>
      </c>
      <c r="H65" s="91">
        <v>9.5597399999999997</v>
      </c>
      <c r="I65" s="97">
        <v>2950.0260229999999</v>
      </c>
      <c r="J65" s="91">
        <v>6321.328469</v>
      </c>
      <c r="K65" s="97">
        <v>31.387089652878117</v>
      </c>
      <c r="L65" s="61">
        <v>2.3637284755421004</v>
      </c>
      <c r="M65" s="60">
        <v>4.4256331206793966</v>
      </c>
      <c r="N65" s="61">
        <v>1.50687843298035</v>
      </c>
      <c r="O65" s="60">
        <v>511.41</v>
      </c>
      <c r="P65" s="61">
        <v>609.13</v>
      </c>
    </row>
    <row r="66" spans="1:16" ht="15" customHeight="1" x14ac:dyDescent="0.2">
      <c r="A66" s="10">
        <v>44562</v>
      </c>
      <c r="B66" s="90">
        <v>4424.5569999999998</v>
      </c>
      <c r="C66" s="95">
        <v>1268.684</v>
      </c>
      <c r="D66" s="90">
        <v>31.5</v>
      </c>
      <c r="E66" s="95">
        <v>51.552607720000005</v>
      </c>
      <c r="F66" s="90">
        <v>1845.8046079999999</v>
      </c>
      <c r="G66" s="95">
        <v>1120.272279</v>
      </c>
      <c r="H66" s="90">
        <v>9.5597399999999997</v>
      </c>
      <c r="I66" s="95">
        <v>3737.7250129999998</v>
      </c>
      <c r="J66" s="90">
        <v>6713.3616400000001</v>
      </c>
      <c r="K66" s="95">
        <v>33.322768901946596</v>
      </c>
      <c r="L66" s="58">
        <v>2.0706989823619124</v>
      </c>
      <c r="M66" s="57">
        <v>4.382996918185956</v>
      </c>
      <c r="N66" s="58">
        <v>1.5063870222615154</v>
      </c>
      <c r="O66" s="57">
        <v>520.90277777777806</v>
      </c>
      <c r="P66" s="58">
        <v>641.11111111111109</v>
      </c>
    </row>
    <row r="67" spans="1:16" ht="15" customHeight="1" x14ac:dyDescent="0.2">
      <c r="A67" s="10">
        <v>44593</v>
      </c>
      <c r="B67" s="90">
        <v>4019.5</v>
      </c>
      <c r="C67" s="95">
        <v>1171.433</v>
      </c>
      <c r="D67" s="90">
        <v>83.5</v>
      </c>
      <c r="E67" s="95">
        <v>47.30972525</v>
      </c>
      <c r="F67" s="90">
        <v>1752.2719340000001</v>
      </c>
      <c r="G67" s="95">
        <v>1065.040796</v>
      </c>
      <c r="H67" s="90">
        <v>25.669250000000002</v>
      </c>
      <c r="I67" s="95">
        <v>4152.4426940000003</v>
      </c>
      <c r="J67" s="90">
        <v>6995.4246739999999</v>
      </c>
      <c r="K67" s="95">
        <v>34.676100144644344</v>
      </c>
      <c r="L67" s="58">
        <v>2.1609545660751679</v>
      </c>
      <c r="M67" s="57">
        <v>4.5067654202951761</v>
      </c>
      <c r="N67" s="58">
        <v>1.5238522767092406</v>
      </c>
      <c r="O67" s="57">
        <v>490.9</v>
      </c>
      <c r="P67" s="58">
        <v>633.23529000000008</v>
      </c>
    </row>
    <row r="68" spans="1:16" ht="15" customHeight="1" x14ac:dyDescent="0.2">
      <c r="A68" s="10">
        <v>44621</v>
      </c>
      <c r="B68" s="90">
        <v>4842.5779999999995</v>
      </c>
      <c r="C68" s="95">
        <v>1726.8619999999999</v>
      </c>
      <c r="D68" s="90">
        <v>73.5</v>
      </c>
      <c r="E68" s="95">
        <v>59.767222379999993</v>
      </c>
      <c r="F68" s="90">
        <v>2415.7014239999999</v>
      </c>
      <c r="G68" s="95">
        <v>1754.662626</v>
      </c>
      <c r="H68" s="90">
        <v>23.378201000000001</v>
      </c>
      <c r="I68" s="95">
        <v>5201.3013289999999</v>
      </c>
      <c r="J68" s="90">
        <v>9395.0435799999996</v>
      </c>
      <c r="K68" s="95">
        <v>36.726919827792784</v>
      </c>
      <c r="L68" s="58">
        <v>1.9500795977030281</v>
      </c>
      <c r="M68" s="57">
        <v>3.9721139690988507</v>
      </c>
      <c r="N68" s="58">
        <v>1.2433959749701511</v>
      </c>
      <c r="O68" s="57">
        <v>512.55999999999995</v>
      </c>
      <c r="P68" s="58">
        <v>771.90476000000001</v>
      </c>
    </row>
    <row r="69" spans="1:16" ht="15" customHeight="1" x14ac:dyDescent="0.2">
      <c r="A69" s="10">
        <v>44652</v>
      </c>
      <c r="B69" s="90">
        <v>4447.1309999999994</v>
      </c>
      <c r="C69" s="95">
        <v>1693.13</v>
      </c>
      <c r="D69" s="90">
        <v>84</v>
      </c>
      <c r="E69" s="95">
        <v>55.969746260000008</v>
      </c>
      <c r="F69" s="90">
        <v>2769.7859530000001</v>
      </c>
      <c r="G69" s="95">
        <v>2365.9028199999998</v>
      </c>
      <c r="H69" s="90">
        <v>30.471855999999999</v>
      </c>
      <c r="I69" s="95">
        <v>5706.6080819999997</v>
      </c>
      <c r="J69" s="90">
        <v>10872.768711000001</v>
      </c>
      <c r="K69" s="95">
        <v>34.036924293232786</v>
      </c>
      <c r="L69" s="58">
        <v>1.949738846643339</v>
      </c>
      <c r="M69" s="57">
        <v>4.3743825054438874</v>
      </c>
      <c r="N69" s="58">
        <v>1.1356114958414478</v>
      </c>
      <c r="O69" s="57">
        <v>550.24833333333345</v>
      </c>
      <c r="P69" s="58">
        <v>792</v>
      </c>
    </row>
    <row r="70" spans="1:16" ht="15" customHeight="1" x14ac:dyDescent="0.2">
      <c r="A70" s="10">
        <v>44682</v>
      </c>
      <c r="B70" s="90">
        <v>4305.2190000000001</v>
      </c>
      <c r="C70" s="95">
        <v>1844.0160000000001</v>
      </c>
      <c r="D70" s="90">
        <v>126</v>
      </c>
      <c r="E70" s="95">
        <v>56.324910240000008</v>
      </c>
      <c r="F70" s="90">
        <v>3180.7905300000002</v>
      </c>
      <c r="G70" s="95">
        <v>2651.9812700000002</v>
      </c>
      <c r="H70" s="90">
        <v>59.380335000000002</v>
      </c>
      <c r="I70" s="95">
        <v>7218.558908</v>
      </c>
      <c r="J70" s="90">
        <v>13110.711042999999</v>
      </c>
      <c r="K70" s="95">
        <v>36.526292888206626</v>
      </c>
      <c r="L70" s="58">
        <v>2.058349759086616</v>
      </c>
      <c r="M70" s="57">
        <v>4.0066842509433132</v>
      </c>
      <c r="N70" s="58">
        <v>1.3129598622607184</v>
      </c>
      <c r="O70" s="57">
        <v>645.10500000000002</v>
      </c>
      <c r="P70" s="58">
        <v>741.45832999999993</v>
      </c>
    </row>
    <row r="71" spans="1:16" ht="15" customHeight="1" x14ac:dyDescent="0.2">
      <c r="A71" s="10">
        <v>44713</v>
      </c>
      <c r="B71" s="90">
        <v>4315.6469999999999</v>
      </c>
      <c r="C71" s="95">
        <v>2698.3739999999998</v>
      </c>
      <c r="D71" s="90">
        <v>136.1</v>
      </c>
      <c r="E71" s="95">
        <v>64.376706620000007</v>
      </c>
      <c r="F71" s="90">
        <v>3548.4888430000001</v>
      </c>
      <c r="G71" s="95">
        <v>3435.4679719999999</v>
      </c>
      <c r="H71" s="90">
        <v>68.429105000000007</v>
      </c>
      <c r="I71" s="95">
        <v>7545.2864459999992</v>
      </c>
      <c r="J71" s="90">
        <v>14597.672365999999</v>
      </c>
      <c r="K71" s="95">
        <v>40.521760229489665</v>
      </c>
      <c r="L71" s="58">
        <v>2.2824549813515298</v>
      </c>
      <c r="M71" s="57">
        <v>3.5341782592122781</v>
      </c>
      <c r="N71" s="58">
        <v>1.3956850452287046</v>
      </c>
      <c r="O71" s="57">
        <v>607.38</v>
      </c>
      <c r="P71" s="58">
        <v>658.25</v>
      </c>
    </row>
    <row r="72" spans="1:16" ht="15" customHeight="1" x14ac:dyDescent="0.2">
      <c r="A72" s="10">
        <v>44743</v>
      </c>
      <c r="B72" s="90">
        <v>3497.5160000000001</v>
      </c>
      <c r="C72" s="95">
        <v>1745.5519999999999</v>
      </c>
      <c r="D72" s="90">
        <v>149.65</v>
      </c>
      <c r="E72" s="95">
        <v>48.307174360000005</v>
      </c>
      <c r="F72" s="90">
        <v>2701.1155739999999</v>
      </c>
      <c r="G72" s="95">
        <v>2381.6471980000001</v>
      </c>
      <c r="H72" s="90">
        <v>68.463048999999998</v>
      </c>
      <c r="I72" s="95">
        <v>6776.5775679999997</v>
      </c>
      <c r="J72" s="90">
        <v>11927.803389000001</v>
      </c>
      <c r="K72" s="95">
        <v>33.052689507427004</v>
      </c>
      <c r="L72" s="58">
        <v>2.1400789197140924</v>
      </c>
      <c r="M72" s="57">
        <v>3.7808632478981936</v>
      </c>
      <c r="N72" s="58">
        <v>1.2677273135761842</v>
      </c>
      <c r="O72" s="57">
        <v>525.69000000000005</v>
      </c>
      <c r="P72" s="58">
        <v>642.75</v>
      </c>
    </row>
    <row r="73" spans="1:16" ht="15" customHeight="1" x14ac:dyDescent="0.2">
      <c r="A73" s="10">
        <v>44774</v>
      </c>
      <c r="B73" s="90">
        <v>4922.9900000000007</v>
      </c>
      <c r="C73" s="95">
        <v>1738.489</v>
      </c>
      <c r="D73" s="90">
        <v>220.17999999999998</v>
      </c>
      <c r="E73" s="95">
        <v>61.402003650000012</v>
      </c>
      <c r="F73" s="90">
        <v>3405.9195319999999</v>
      </c>
      <c r="G73" s="95">
        <v>2419.918435</v>
      </c>
      <c r="H73" s="90">
        <v>98.684314999999998</v>
      </c>
      <c r="I73" s="95">
        <v>6876.0345689999995</v>
      </c>
      <c r="J73" s="90">
        <v>12800.556851000001</v>
      </c>
      <c r="K73" s="95">
        <v>35.458773215829552</v>
      </c>
      <c r="L73" s="58">
        <v>1.9164622665281101</v>
      </c>
      <c r="M73" s="57">
        <v>3.8558810170753528</v>
      </c>
      <c r="N73" s="58">
        <v>1.2415525514451831</v>
      </c>
      <c r="O73" s="57">
        <v>544.0625</v>
      </c>
      <c r="P73" s="58">
        <v>679.88636363636351</v>
      </c>
    </row>
    <row r="74" spans="1:16" ht="15" customHeight="1" x14ac:dyDescent="0.2">
      <c r="A74" s="10">
        <v>44805</v>
      </c>
      <c r="B74" s="90">
        <v>4938.3879999999999</v>
      </c>
      <c r="C74" s="95">
        <v>1619.5150000000001</v>
      </c>
      <c r="D74" s="90">
        <v>270.45000000000005</v>
      </c>
      <c r="E74" s="95">
        <v>60.715945230000003</v>
      </c>
      <c r="F74" s="90">
        <v>2819.8814430000002</v>
      </c>
      <c r="G74" s="95">
        <v>1960.3211140000001</v>
      </c>
      <c r="H74" s="90">
        <v>123.81150700000001</v>
      </c>
      <c r="I74" s="95">
        <v>5846.4884749999992</v>
      </c>
      <c r="J74" s="90">
        <v>10750.502539000001</v>
      </c>
      <c r="K74" s="95">
        <v>29.666166474328513</v>
      </c>
      <c r="L74" s="58">
        <v>1.5757173038718932</v>
      </c>
      <c r="M74" s="57">
        <v>3.3402187237706182</v>
      </c>
      <c r="N74" s="58">
        <v>1.263300556198915</v>
      </c>
      <c r="O74" s="57">
        <v>490.47619047619003</v>
      </c>
      <c r="P74" s="58">
        <v>623.69047619047603</v>
      </c>
    </row>
    <row r="75" spans="1:16" ht="15" customHeight="1" x14ac:dyDescent="0.2">
      <c r="A75" s="10">
        <v>44835</v>
      </c>
      <c r="B75" s="90">
        <v>5089.7389999999996</v>
      </c>
      <c r="C75" s="95">
        <v>1499.2639999999999</v>
      </c>
      <c r="D75" s="90">
        <v>263.14999999999998</v>
      </c>
      <c r="E75" s="95">
        <v>60.919578440000002</v>
      </c>
      <c r="F75" s="90">
        <v>2769.0242950000002</v>
      </c>
      <c r="G75" s="95">
        <v>1873.4383130000001</v>
      </c>
      <c r="H75" s="90">
        <v>120.83859200000001</v>
      </c>
      <c r="I75" s="95">
        <v>8984.7918140000002</v>
      </c>
      <c r="J75" s="90">
        <v>13748.093014</v>
      </c>
      <c r="K75" s="95">
        <v>37.85805751588056</v>
      </c>
      <c r="L75" s="58">
        <v>1.4981217827320876</v>
      </c>
      <c r="M75" s="57">
        <v>3.4409403942318795</v>
      </c>
      <c r="N75" s="58">
        <v>1.2644980003017181</v>
      </c>
      <c r="O75" s="57">
        <v>498.06286549707602</v>
      </c>
      <c r="P75" s="58">
        <v>604.15789473684208</v>
      </c>
    </row>
    <row r="76" spans="1:16" ht="15" customHeight="1" x14ac:dyDescent="0.2">
      <c r="A76" s="10">
        <v>44866</v>
      </c>
      <c r="B76" s="90">
        <v>5188.0789999999997</v>
      </c>
      <c r="C76" s="95">
        <v>1306.6469999999999</v>
      </c>
      <c r="D76" s="90">
        <v>388.90000000000003</v>
      </c>
      <c r="E76" s="95">
        <v>60.710622590000007</v>
      </c>
      <c r="F76" s="90">
        <v>2819.0037419999999</v>
      </c>
      <c r="G76" s="95">
        <v>1596.08654</v>
      </c>
      <c r="H76" s="90">
        <v>177.83017699999999</v>
      </c>
      <c r="I76" s="95">
        <v>3998.0956000000001</v>
      </c>
      <c r="J76" s="90">
        <v>8591.0160589999996</v>
      </c>
      <c r="K76" s="95">
        <v>23.641050922689974</v>
      </c>
      <c r="L76" s="58">
        <v>1.4952414213443748</v>
      </c>
      <c r="M76" s="57">
        <v>3.3614016358010868</v>
      </c>
      <c r="N76" s="58">
        <v>1.2583161342758784</v>
      </c>
      <c r="O76" s="57">
        <v>522.82268170426096</v>
      </c>
      <c r="P76" s="58">
        <v>614.76190476190482</v>
      </c>
    </row>
    <row r="77" spans="1:16" ht="15" customHeight="1" x14ac:dyDescent="0.2">
      <c r="A77" s="10">
        <v>44896</v>
      </c>
      <c r="B77" s="90">
        <v>5146.3289999999997</v>
      </c>
      <c r="C77" s="95">
        <v>1364.972</v>
      </c>
      <c r="D77" s="90">
        <v>253.05</v>
      </c>
      <c r="E77" s="95">
        <v>60.128873840000004</v>
      </c>
      <c r="F77" s="90">
        <v>2795.937226</v>
      </c>
      <c r="G77" s="95">
        <v>1744.9846319999999</v>
      </c>
      <c r="H77" s="90">
        <v>118.000409</v>
      </c>
      <c r="I77" s="95">
        <v>4347.1194930000001</v>
      </c>
      <c r="J77" s="90">
        <v>9006.0417600000001</v>
      </c>
      <c r="K77" s="95">
        <v>24.798746575938445</v>
      </c>
      <c r="L77" s="58">
        <v>1.4959795050358362</v>
      </c>
      <c r="M77" s="57">
        <v>3.5201700037241879</v>
      </c>
      <c r="N77" s="58">
        <v>1.2840234196763902</v>
      </c>
      <c r="O77" s="57">
        <v>556.74013157894694</v>
      </c>
      <c r="P77" s="58">
        <v>669.5</v>
      </c>
    </row>
    <row r="78" spans="1:16" ht="15" customHeight="1" x14ac:dyDescent="0.2">
      <c r="A78" s="11">
        <v>44927</v>
      </c>
      <c r="B78" s="91">
        <v>3231.0349999999999</v>
      </c>
      <c r="C78" s="97">
        <v>1207.944</v>
      </c>
      <c r="D78" s="91">
        <v>151.75</v>
      </c>
      <c r="E78" s="97">
        <v>40.958180600000006</v>
      </c>
      <c r="F78" s="91">
        <v>1775.4972749999999</v>
      </c>
      <c r="G78" s="97">
        <v>1395.3815990000001</v>
      </c>
      <c r="H78" s="91">
        <v>71.696680000000001</v>
      </c>
      <c r="I78" s="97">
        <v>4720.3158279999998</v>
      </c>
      <c r="J78" s="91">
        <v>7962.8913819999998</v>
      </c>
      <c r="K78" s="97">
        <v>21.971276040028386</v>
      </c>
      <c r="L78" s="61">
        <v>1.5162221480875029</v>
      </c>
      <c r="M78" s="60">
        <v>3.1873567796452598</v>
      </c>
      <c r="N78" s="61">
        <v>1.3036314659635182</v>
      </c>
      <c r="O78" s="60">
        <v>578.03571428571399</v>
      </c>
      <c r="P78" s="61">
        <v>720.71428571428567</v>
      </c>
    </row>
    <row r="79" spans="1:16" ht="15" customHeight="1" x14ac:dyDescent="0.2">
      <c r="A79" s="11">
        <v>44958</v>
      </c>
      <c r="B79" s="91">
        <v>3500.4010000000003</v>
      </c>
      <c r="C79" s="97">
        <v>1735.662</v>
      </c>
      <c r="D79" s="91">
        <v>87.674999999999997</v>
      </c>
      <c r="E79" s="97">
        <v>47.900678960000008</v>
      </c>
      <c r="F79" s="91">
        <v>2042.8868319999999</v>
      </c>
      <c r="G79" s="97">
        <v>2116.9348209999998</v>
      </c>
      <c r="H79" s="91">
        <v>42.390425999999998</v>
      </c>
      <c r="I79" s="97">
        <v>4853.3817240000008</v>
      </c>
      <c r="J79" s="91">
        <v>9055.5938029999998</v>
      </c>
      <c r="K79" s="97">
        <v>25.017069619969909</v>
      </c>
      <c r="L79" s="61">
        <v>1.6123005917670283</v>
      </c>
      <c r="M79" s="60">
        <v>3.3694718688485037</v>
      </c>
      <c r="N79" s="61">
        <v>1.3357079473805762</v>
      </c>
      <c r="O79" s="60">
        <v>561.75</v>
      </c>
      <c r="P79" s="61">
        <v>725.4</v>
      </c>
    </row>
    <row r="80" spans="1:16" ht="15" customHeight="1" x14ac:dyDescent="0.2">
      <c r="A80" s="11">
        <v>44986</v>
      </c>
      <c r="B80" s="91">
        <v>3207.7559999999999</v>
      </c>
      <c r="C80" s="97">
        <v>1461.6489999999999</v>
      </c>
      <c r="D80" s="91">
        <v>43.75</v>
      </c>
      <c r="E80" s="97">
        <v>42.502372010000002</v>
      </c>
      <c r="F80" s="91">
        <v>1960.19517</v>
      </c>
      <c r="G80" s="97">
        <v>1666.087882</v>
      </c>
      <c r="H80" s="91">
        <v>21.421517000000001</v>
      </c>
      <c r="I80" s="97">
        <v>5831.9798489999994</v>
      </c>
      <c r="J80" s="91">
        <v>9479.6844180000007</v>
      </c>
      <c r="K80" s="97">
        <v>28.772448243532281</v>
      </c>
      <c r="L80" s="61">
        <v>1.8547309815583377</v>
      </c>
      <c r="M80" s="60">
        <v>3.4596944876324143</v>
      </c>
      <c r="N80" s="61">
        <v>1.4861241896802246</v>
      </c>
      <c r="O80" s="60">
        <v>553.06500000000005</v>
      </c>
      <c r="P80" s="61">
        <v>745</v>
      </c>
    </row>
    <row r="81" spans="1:16" ht="15" customHeight="1" x14ac:dyDescent="0.2">
      <c r="A81" s="11">
        <v>45017</v>
      </c>
      <c r="B81" s="91">
        <v>2625.8780000000002</v>
      </c>
      <c r="C81" s="97">
        <v>1311.3539999999998</v>
      </c>
      <c r="D81" s="91">
        <v>0.04</v>
      </c>
      <c r="E81" s="97">
        <v>35.658111380000001</v>
      </c>
      <c r="F81" s="91">
        <v>1473.632008</v>
      </c>
      <c r="G81" s="97">
        <v>1500.942211</v>
      </c>
      <c r="H81" s="91">
        <v>6.6276000000000002E-2</v>
      </c>
      <c r="I81" s="97">
        <v>5193.6273160000001</v>
      </c>
      <c r="J81" s="91">
        <v>8168.2678109999997</v>
      </c>
      <c r="K81" s="97">
        <v>25.412718545947349</v>
      </c>
      <c r="L81" s="61">
        <v>1.7459655067360675</v>
      </c>
      <c r="M81" s="60">
        <v>3.5609443304929695</v>
      </c>
      <c r="N81" s="61">
        <v>5.1548668987170849</v>
      </c>
      <c r="O81" s="60">
        <v>527.04545454545507</v>
      </c>
      <c r="P81" s="61">
        <v>742.04545454545462</v>
      </c>
    </row>
    <row r="82" spans="1:16" ht="15" customHeight="1" x14ac:dyDescent="0.2">
      <c r="A82" s="11">
        <v>45047</v>
      </c>
      <c r="B82" s="91">
        <v>4079.5589999999997</v>
      </c>
      <c r="C82" s="97">
        <v>1861.5989999999999</v>
      </c>
      <c r="D82" s="91">
        <v>21.5</v>
      </c>
      <c r="E82" s="97">
        <v>53.890889390000005</v>
      </c>
      <c r="F82" s="91">
        <v>2087.113409</v>
      </c>
      <c r="G82" s="97">
        <v>1891.925279</v>
      </c>
      <c r="H82" s="91">
        <v>10.962908000000001</v>
      </c>
      <c r="I82" s="97">
        <v>5749.3298000000004</v>
      </c>
      <c r="J82" s="91">
        <v>9739.3313960000014</v>
      </c>
      <c r="K82" s="97">
        <v>31.400596252497472</v>
      </c>
      <c r="L82" s="61">
        <v>1.6494592130158954</v>
      </c>
      <c r="M82" s="60">
        <v>3.2766238964180605</v>
      </c>
      <c r="N82" s="61">
        <v>1.643978224656121</v>
      </c>
      <c r="O82" s="60">
        <v>483.39</v>
      </c>
      <c r="P82" s="61">
        <v>689.52381000000003</v>
      </c>
    </row>
    <row r="83" spans="1:16" ht="15" customHeight="1" x14ac:dyDescent="0.2">
      <c r="A83" s="11">
        <v>45078</v>
      </c>
      <c r="B83" s="91">
        <v>3374.7780000000002</v>
      </c>
      <c r="C83" s="97">
        <v>1535.5250000000001</v>
      </c>
      <c r="D83" s="91">
        <v>22</v>
      </c>
      <c r="E83" s="97">
        <v>44.562617130000007</v>
      </c>
      <c r="F83" s="91">
        <v>1651.833903</v>
      </c>
      <c r="G83" s="97">
        <v>1571.1246229999999</v>
      </c>
      <c r="H83" s="91">
        <v>12.397228</v>
      </c>
      <c r="I83" s="97">
        <v>5339.9197250000007</v>
      </c>
      <c r="J83" s="91">
        <v>8575.2754789999999</v>
      </c>
      <c r="K83" s="97">
        <v>28.464586475125238</v>
      </c>
      <c r="L83" s="61">
        <v>1.6247178974267573</v>
      </c>
      <c r="M83" s="60">
        <v>3.3963351650467133</v>
      </c>
      <c r="N83" s="61">
        <v>1.8705042787998045</v>
      </c>
      <c r="O83" s="60">
        <v>508.09523809523802</v>
      </c>
      <c r="P83" s="61">
        <v>634.52380952380952</v>
      </c>
    </row>
    <row r="84" spans="1:16" ht="15" customHeight="1" x14ac:dyDescent="0.2">
      <c r="A84" s="11">
        <v>45108</v>
      </c>
      <c r="B84" s="91">
        <v>3917.3629999999998</v>
      </c>
      <c r="C84" s="97">
        <v>1816.739</v>
      </c>
      <c r="D84" s="91">
        <v>77.7</v>
      </c>
      <c r="E84" s="97">
        <v>52.331758230000005</v>
      </c>
      <c r="F84" s="91">
        <v>2122.6175400000002</v>
      </c>
      <c r="G84" s="97">
        <v>1834.941405</v>
      </c>
      <c r="H84" s="91">
        <v>33.474732000000003</v>
      </c>
      <c r="I84" s="97">
        <v>5958.1646870000004</v>
      </c>
      <c r="J84" s="91">
        <v>9949.1983639999999</v>
      </c>
      <c r="K84" s="97">
        <v>31.160352707238523</v>
      </c>
      <c r="L84" s="61">
        <v>1.6970404991045591</v>
      </c>
      <c r="M84" s="60">
        <v>3.1633258935348842</v>
      </c>
      <c r="N84" s="61">
        <v>1.3493057310548791</v>
      </c>
      <c r="O84" s="60">
        <v>500.3125</v>
      </c>
      <c r="P84" s="61">
        <v>591.5</v>
      </c>
    </row>
    <row r="85" spans="1:16" ht="15" customHeight="1" x14ac:dyDescent="0.2">
      <c r="A85" s="11">
        <v>45139</v>
      </c>
      <c r="B85" s="91">
        <v>5141.4929999999995</v>
      </c>
      <c r="C85" s="97">
        <v>1787.681</v>
      </c>
      <c r="D85" s="91">
        <v>161.33800000000002</v>
      </c>
      <c r="E85" s="97">
        <v>63.49118553000001</v>
      </c>
      <c r="F85" s="91">
        <v>2599.4679150000002</v>
      </c>
      <c r="G85" s="97">
        <v>1936.9819869999999</v>
      </c>
      <c r="H85" s="91">
        <v>63.934057000000003</v>
      </c>
      <c r="I85" s="97">
        <v>5630.4683820000009</v>
      </c>
      <c r="J85" s="91">
        <v>10230.852341</v>
      </c>
      <c r="K85" s="97">
        <v>31.814686466419801</v>
      </c>
      <c r="L85" s="61">
        <v>1.5722117708987178</v>
      </c>
      <c r="M85" s="60">
        <v>3.3693908225524729</v>
      </c>
      <c r="N85" s="61">
        <v>1.2322857485848611</v>
      </c>
      <c r="O85" s="60">
        <v>504.7</v>
      </c>
      <c r="P85" s="61">
        <v>576.42859999999996</v>
      </c>
    </row>
    <row r="86" spans="1:16" ht="15" customHeight="1" x14ac:dyDescent="0.2">
      <c r="A86" s="11">
        <v>45170</v>
      </c>
      <c r="B86" s="91">
        <v>5504.4709999999995</v>
      </c>
      <c r="C86" s="97">
        <v>2119.7629999999999</v>
      </c>
      <c r="D86" s="91">
        <v>187.6</v>
      </c>
      <c r="E86" s="97">
        <v>69.959667910000007</v>
      </c>
      <c r="F86" s="91">
        <v>2692.0763849999998</v>
      </c>
      <c r="G86" s="97">
        <v>2246.7010730000002</v>
      </c>
      <c r="H86" s="91">
        <v>73.386312000000004</v>
      </c>
      <c r="I86" s="97">
        <v>5447.8674149999997</v>
      </c>
      <c r="J86" s="91">
        <v>10460.031185</v>
      </c>
      <c r="K86" s="97">
        <v>32.407144003472446</v>
      </c>
      <c r="L86" s="61">
        <v>1.5152335227834175</v>
      </c>
      <c r="M86" s="60">
        <v>3.2837173300306262</v>
      </c>
      <c r="N86" s="61">
        <v>1.2119648057697632</v>
      </c>
      <c r="O86" s="60">
        <v>507.03947368421052</v>
      </c>
      <c r="P86" s="61">
        <v>546.31578947368428</v>
      </c>
    </row>
    <row r="87" spans="1:16" ht="15" customHeight="1" x14ac:dyDescent="0.2">
      <c r="A87" s="11">
        <v>45200</v>
      </c>
      <c r="B87" s="91">
        <v>5533.32</v>
      </c>
      <c r="C87" s="97">
        <v>1829.2170000000001</v>
      </c>
      <c r="D87" s="91">
        <v>129.85</v>
      </c>
      <c r="E87" s="97">
        <v>67.212979450000006</v>
      </c>
      <c r="F87" s="91">
        <v>2576.980035</v>
      </c>
      <c r="G87" s="97">
        <v>1850.8196519999999</v>
      </c>
      <c r="H87" s="91">
        <v>48.467986000000003</v>
      </c>
      <c r="I87" s="97">
        <v>4775.9371010000004</v>
      </c>
      <c r="J87" s="91">
        <v>9252.2047740000016</v>
      </c>
      <c r="K87" s="97">
        <v>28.491966330213103</v>
      </c>
      <c r="L87" s="61">
        <v>1.4341760089883202</v>
      </c>
      <c r="M87" s="60">
        <v>3.1158465375921391</v>
      </c>
      <c r="N87" s="61">
        <v>1.1494503214171725</v>
      </c>
      <c r="O87" s="60">
        <v>525.81818181818198</v>
      </c>
      <c r="P87" s="61">
        <v>547.04545454545462</v>
      </c>
    </row>
    <row r="88" spans="1:16" ht="15" customHeight="1" x14ac:dyDescent="0.2">
      <c r="A88" s="11">
        <v>45231</v>
      </c>
      <c r="B88" s="91">
        <v>5179.4620000000004</v>
      </c>
      <c r="C88" s="97">
        <v>2002.5450000000001</v>
      </c>
      <c r="D88" s="91">
        <v>74.75</v>
      </c>
      <c r="E88" s="97">
        <v>65.342645770000004</v>
      </c>
      <c r="F88" s="91">
        <v>2752.349487</v>
      </c>
      <c r="G88" s="97">
        <v>2127.6338030000002</v>
      </c>
      <c r="H88" s="91">
        <v>31.238199999999999</v>
      </c>
      <c r="I88" s="97">
        <v>4510.7048879999993</v>
      </c>
      <c r="J88" s="91">
        <v>9421.9263780000001</v>
      </c>
      <c r="K88" s="97">
        <v>28.703507625285603</v>
      </c>
      <c r="L88" s="61">
        <v>1.6188782672083273</v>
      </c>
      <c r="M88" s="60">
        <v>3.2367552624395892</v>
      </c>
      <c r="N88" s="61">
        <v>1.2731221359851448</v>
      </c>
      <c r="O88" s="60">
        <v>583.81818181818198</v>
      </c>
      <c r="P88" s="61">
        <v>572.27272727272725</v>
      </c>
    </row>
    <row r="89" spans="1:16" ht="15" customHeight="1" x14ac:dyDescent="0.2">
      <c r="A89" s="11">
        <v>45261</v>
      </c>
      <c r="B89" s="91">
        <v>4665.1410000000005</v>
      </c>
      <c r="C89" s="97">
        <v>1575.1849999999999</v>
      </c>
      <c r="D89" s="91">
        <v>21.05</v>
      </c>
      <c r="E89" s="97">
        <v>56.485899610000004</v>
      </c>
      <c r="F89" s="91">
        <v>2451.768231</v>
      </c>
      <c r="G89" s="97">
        <v>1710.8309589999999</v>
      </c>
      <c r="H89" s="91">
        <v>8.7454590000000003</v>
      </c>
      <c r="I89" s="97">
        <v>3397.3937350000006</v>
      </c>
      <c r="J89" s="91">
        <v>7568.7383840000002</v>
      </c>
      <c r="K89" s="97">
        <v>23.164244066348299</v>
      </c>
      <c r="L89" s="61">
        <v>1.6084563406401005</v>
      </c>
      <c r="M89" s="60">
        <v>3.3240700803026826</v>
      </c>
      <c r="N89" s="61">
        <v>1.2715257104892579</v>
      </c>
      <c r="O89" s="60">
        <v>575.42763157894694</v>
      </c>
      <c r="P89" s="61">
        <v>590.26315789473688</v>
      </c>
    </row>
    <row r="90" spans="1:16" ht="15" customHeight="1" x14ac:dyDescent="0.2">
      <c r="A90" s="10" t="s">
        <v>347</v>
      </c>
      <c r="B90" s="90">
        <v>4400.4260000000004</v>
      </c>
      <c r="C90" s="95">
        <v>1761.902</v>
      </c>
      <c r="D90" s="90">
        <v>0</v>
      </c>
      <c r="E90" s="95">
        <v>55.725410460000006</v>
      </c>
      <c r="F90" s="90">
        <v>2131.0148490000001</v>
      </c>
      <c r="G90" s="95">
        <v>1726.7192600000001</v>
      </c>
      <c r="H90" s="90">
        <v>0</v>
      </c>
      <c r="I90" s="95">
        <v>4116.3177699999997</v>
      </c>
      <c r="J90" s="90">
        <v>7974.0518789999996</v>
      </c>
      <c r="K90" s="95">
        <v>24.828087872924854</v>
      </c>
      <c r="L90" s="58">
        <v>1.5078424675168254</v>
      </c>
      <c r="M90" s="57">
        <v>3.0514355502517576</v>
      </c>
      <c r="N90" s="58"/>
      <c r="O90" s="57">
        <v>570.255</v>
      </c>
      <c r="P90" s="58">
        <v>594.25</v>
      </c>
    </row>
    <row r="91" spans="1:16" ht="15" customHeight="1" x14ac:dyDescent="0.2">
      <c r="A91" s="10" t="s">
        <v>348</v>
      </c>
      <c r="B91" s="90">
        <v>4505.0529999999999</v>
      </c>
      <c r="C91" s="95">
        <v>1769.646</v>
      </c>
      <c r="D91" s="90">
        <v>51.85</v>
      </c>
      <c r="E91" s="95">
        <v>57.01967538000001</v>
      </c>
      <c r="F91" s="90">
        <v>2331.7089580000002</v>
      </c>
      <c r="G91" s="95">
        <v>1748.2533880000001</v>
      </c>
      <c r="H91" s="90">
        <v>22.022551</v>
      </c>
      <c r="I91" s="95">
        <v>6111.7579930000011</v>
      </c>
      <c r="J91" s="90">
        <v>10213.742890000001</v>
      </c>
      <c r="K91" s="95">
        <v>32.675601837736949</v>
      </c>
      <c r="L91" s="58">
        <v>1.655819949741784</v>
      </c>
      <c r="M91" s="57">
        <v>3.1605062536074242</v>
      </c>
      <c r="N91" s="58">
        <v>1.3588062565855192</v>
      </c>
      <c r="O91" s="57">
        <v>586.38</v>
      </c>
      <c r="P91" s="58">
        <v>573.25</v>
      </c>
    </row>
    <row r="92" spans="1:16" ht="15" customHeight="1" x14ac:dyDescent="0.2">
      <c r="A92" s="10" t="s">
        <v>349</v>
      </c>
      <c r="B92" s="90">
        <v>4624.8570000000009</v>
      </c>
      <c r="C92" s="95">
        <v>2247.9349999999999</v>
      </c>
      <c r="D92" s="90">
        <v>94.875</v>
      </c>
      <c r="E92" s="95">
        <v>62.753929970000016</v>
      </c>
      <c r="F92" s="90">
        <v>2507.7844679999998</v>
      </c>
      <c r="G92" s="95">
        <v>2198.3928019999998</v>
      </c>
      <c r="H92" s="90">
        <v>38.456847000000003</v>
      </c>
      <c r="I92" s="95">
        <v>6888.2815970000001</v>
      </c>
      <c r="J92" s="90">
        <v>11632.915714000001</v>
      </c>
      <c r="K92" s="95">
        <v>38.057728932000721</v>
      </c>
      <c r="L92" s="58">
        <v>1.7739696538523471</v>
      </c>
      <c r="M92" s="57">
        <v>3.1994537105845224</v>
      </c>
      <c r="N92" s="58">
        <v>1.3260996871397288</v>
      </c>
      <c r="O92" s="57">
        <v>585.72</v>
      </c>
      <c r="P92" s="58">
        <v>596.18421000000001</v>
      </c>
    </row>
    <row r="93" spans="1:16" ht="15" customHeight="1" x14ac:dyDescent="0.2">
      <c r="A93" s="10" t="s">
        <v>350</v>
      </c>
      <c r="B93" s="90">
        <v>3907.2969999999996</v>
      </c>
      <c r="C93" s="95">
        <v>1551.29</v>
      </c>
      <c r="D93" s="90">
        <v>32</v>
      </c>
      <c r="E93" s="95">
        <v>49.534813620000001</v>
      </c>
      <c r="F93" s="90">
        <v>1999.0296350000001</v>
      </c>
      <c r="G93" s="95">
        <v>1653.1317240000001</v>
      </c>
      <c r="H93" s="90">
        <v>13.463395999999999</v>
      </c>
      <c r="I93" s="95">
        <v>5328.3826100000006</v>
      </c>
      <c r="J93" s="90">
        <v>8994.0073650000013</v>
      </c>
      <c r="K93" s="95">
        <v>30.03777718293038</v>
      </c>
      <c r="L93" s="58">
        <v>1.7086667215958005</v>
      </c>
      <c r="M93" s="57">
        <v>3.5590084554963743</v>
      </c>
      <c r="N93" s="58">
        <v>1.4051386966674591</v>
      </c>
      <c r="O93" s="57">
        <v>579.84</v>
      </c>
      <c r="P93" s="58">
        <v>594.6875</v>
      </c>
    </row>
    <row r="94" spans="1:16" ht="15" customHeight="1" x14ac:dyDescent="0.2">
      <c r="A94" s="10" t="s">
        <v>351</v>
      </c>
      <c r="B94" s="90">
        <v>5011.5230000000001</v>
      </c>
      <c r="C94" s="95">
        <v>1694.5129999999999</v>
      </c>
      <c r="D94" s="90">
        <v>21</v>
      </c>
      <c r="E94" s="95">
        <v>60.692991330000005</v>
      </c>
      <c r="F94" s="90">
        <v>2485.6812759999998</v>
      </c>
      <c r="G94" s="95">
        <v>1636.374996</v>
      </c>
      <c r="H94" s="90">
        <v>7.9595760000000002</v>
      </c>
      <c r="I94" s="95">
        <v>5631.7351890000009</v>
      </c>
      <c r="J94" s="90">
        <v>9761.7510370000018</v>
      </c>
      <c r="K94" s="95">
        <v>32.572578731585693</v>
      </c>
      <c r="L94" s="58">
        <v>1.6550081176458273</v>
      </c>
      <c r="M94" s="57">
        <v>3.2222730946071252</v>
      </c>
      <c r="N94" s="58">
        <v>1.2647219450463978</v>
      </c>
      <c r="O94" s="57">
        <v>603.44000000000005</v>
      </c>
      <c r="P94" s="58">
        <v>591.875</v>
      </c>
    </row>
    <row r="95" spans="1:16" ht="15" customHeight="1" x14ac:dyDescent="0.2">
      <c r="A95" s="10" t="s">
        <v>352</v>
      </c>
      <c r="B95" s="90">
        <v>4488.2830000000004</v>
      </c>
      <c r="C95" s="95">
        <v>2102.89</v>
      </c>
      <c r="D95" s="90">
        <v>0</v>
      </c>
      <c r="E95" s="95">
        <v>59.666748179999999</v>
      </c>
      <c r="F95" s="90">
        <v>2721.8757740000001</v>
      </c>
      <c r="G95" s="95">
        <v>2191.5854260000001</v>
      </c>
      <c r="H95" s="90">
        <v>0</v>
      </c>
      <c r="I95" s="95">
        <v>5111.7369629999994</v>
      </c>
      <c r="J95" s="90">
        <v>10025.198162999999</v>
      </c>
      <c r="K95" s="95">
        <v>32.9980213526716</v>
      </c>
      <c r="L95" s="58">
        <v>1.9961032458454029</v>
      </c>
      <c r="M95" s="57">
        <v>3.4303369495705209</v>
      </c>
      <c r="N95" s="58"/>
      <c r="O95" s="57">
        <v>659.78</v>
      </c>
      <c r="P95" s="58">
        <v>670.88234999999997</v>
      </c>
    </row>
    <row r="96" spans="1:16" ht="15" customHeight="1" x14ac:dyDescent="0.2">
      <c r="A96" s="10" t="s">
        <v>353</v>
      </c>
      <c r="B96" s="90">
        <v>5450.1</v>
      </c>
      <c r="C96" s="95">
        <v>2212.89</v>
      </c>
      <c r="D96" s="90">
        <v>21.5</v>
      </c>
      <c r="E96" s="95">
        <v>69.420378500000012</v>
      </c>
      <c r="F96" s="90">
        <v>3218.153413</v>
      </c>
      <c r="G96" s="95">
        <v>2178.345765</v>
      </c>
      <c r="H96" s="90">
        <v>9.5641979999999993</v>
      </c>
      <c r="I96" s="95">
        <v>6268.4458730000006</v>
      </c>
      <c r="J96" s="90">
        <v>11674.509249000001</v>
      </c>
      <c r="K96" s="95">
        <v>38.433851816540852</v>
      </c>
      <c r="L96" s="58">
        <v>1.9439162510030816</v>
      </c>
      <c r="M96" s="57">
        <v>3.2407256554204062</v>
      </c>
      <c r="N96" s="58">
        <v>1.46448651237606</v>
      </c>
      <c r="O96" s="57">
        <v>688.58500000000004</v>
      </c>
      <c r="P96" s="58">
        <v>702.39099999999996</v>
      </c>
    </row>
    <row r="97" spans="1:16" ht="15" customHeight="1" x14ac:dyDescent="0.2">
      <c r="A97" s="10" t="s">
        <v>354</v>
      </c>
      <c r="B97" s="90">
        <v>5521.9620000000004</v>
      </c>
      <c r="C97" s="95">
        <v>2678.5920000000001</v>
      </c>
      <c r="D97" s="90">
        <v>31.5</v>
      </c>
      <c r="E97" s="95">
        <v>74.427005520000009</v>
      </c>
      <c r="F97" s="90">
        <v>3432.6331639999999</v>
      </c>
      <c r="G97" s="95">
        <v>2787.107771</v>
      </c>
      <c r="H97" s="90">
        <v>13.291611</v>
      </c>
      <c r="I97" s="95">
        <v>6566.9218820000006</v>
      </c>
      <c r="J97" s="90">
        <v>12799.954428000001</v>
      </c>
      <c r="K97" s="95">
        <v>42.571679249192556</v>
      </c>
      <c r="L97" s="58">
        <v>2.0675039041659713</v>
      </c>
      <c r="M97" s="57">
        <v>3.460664936651578</v>
      </c>
      <c r="N97" s="58">
        <v>1.4033933898648605</v>
      </c>
      <c r="O97" s="57">
        <v>706.55</v>
      </c>
      <c r="P97" s="58">
        <v>698.33299999999997</v>
      </c>
    </row>
    <row r="98" spans="1:16" ht="15" customHeight="1" x14ac:dyDescent="0.2">
      <c r="A98" s="10" t="s">
        <v>355</v>
      </c>
      <c r="B98" s="90">
        <v>4812.8149999999996</v>
      </c>
      <c r="C98" s="95">
        <v>2140.6120000000001</v>
      </c>
      <c r="D98" s="90">
        <v>10.5</v>
      </c>
      <c r="E98" s="95">
        <v>62.981233400000001</v>
      </c>
      <c r="F98" s="90">
        <v>2864.8755230000002</v>
      </c>
      <c r="G98" s="95">
        <v>2215.9026669999998</v>
      </c>
      <c r="H98" s="90">
        <v>5.8525510000000001</v>
      </c>
      <c r="I98" s="95">
        <v>5629.4340609999999</v>
      </c>
      <c r="J98" s="90">
        <v>10716.064802000001</v>
      </c>
      <c r="K98" s="95">
        <v>35.583752316532767</v>
      </c>
      <c r="L98" s="58">
        <v>1.9766191572362648</v>
      </c>
      <c r="M98" s="57">
        <v>3.4373925860872618</v>
      </c>
      <c r="N98" s="58">
        <v>1.8508546707503704</v>
      </c>
      <c r="O98" s="57">
        <v>768</v>
      </c>
      <c r="P98" s="58">
        <v>703.15800000000002</v>
      </c>
    </row>
    <row r="99" spans="1:16" ht="15" customHeight="1" x14ac:dyDescent="0.2">
      <c r="A99" s="10" t="s">
        <v>356</v>
      </c>
      <c r="B99" s="90">
        <v>5949.5550000000003</v>
      </c>
      <c r="C99" s="95">
        <v>1990.5740000000001</v>
      </c>
      <c r="D99" s="90">
        <v>53</v>
      </c>
      <c r="E99" s="95">
        <v>72.012322300000008</v>
      </c>
      <c r="F99" s="90">
        <v>3808.6822520000001</v>
      </c>
      <c r="G99" s="95">
        <v>2196.9728639999998</v>
      </c>
      <c r="H99" s="90">
        <v>22.588021000000001</v>
      </c>
      <c r="I99" s="95">
        <v>5742.365815000001</v>
      </c>
      <c r="J99" s="90">
        <v>11770.608952</v>
      </c>
      <c r="K99" s="95">
        <v>40.065370748890942</v>
      </c>
      <c r="L99" s="58">
        <v>2.1790163691228539</v>
      </c>
      <c r="M99" s="57">
        <v>3.7567872369349802</v>
      </c>
      <c r="N99" s="58">
        <v>1.4506830859417246</v>
      </c>
      <c r="O99" s="57">
        <v>910.6</v>
      </c>
      <c r="P99" s="58">
        <v>730.35713999999996</v>
      </c>
    </row>
    <row r="100" spans="1:16" ht="15" customHeight="1" x14ac:dyDescent="0.2">
      <c r="A100" s="10" t="s">
        <v>357</v>
      </c>
      <c r="B100" s="90">
        <v>4271.2610000000004</v>
      </c>
      <c r="C100" s="95">
        <v>1726.704</v>
      </c>
      <c r="D100" s="90">
        <v>10.5</v>
      </c>
      <c r="E100" s="95">
        <v>54.300260559999998</v>
      </c>
      <c r="F100" s="90">
        <v>2952.3179340000002</v>
      </c>
      <c r="G100" s="95">
        <v>2048.1341080000002</v>
      </c>
      <c r="H100" s="90">
        <v>3.8945289999999999</v>
      </c>
      <c r="I100" s="95">
        <v>4548.7297020000005</v>
      </c>
      <c r="J100" s="90">
        <v>9553.0762730000024</v>
      </c>
      <c r="K100" s="95">
        <v>32.714983887493958</v>
      </c>
      <c r="L100" s="58">
        <v>2.3670666134888649</v>
      </c>
      <c r="M100" s="57">
        <v>4.0620377997943118</v>
      </c>
      <c r="N100" s="58">
        <v>1.2701912261994615</v>
      </c>
      <c r="O100" s="57">
        <v>944.87</v>
      </c>
      <c r="P100" s="58">
        <v>753.42105000000004</v>
      </c>
    </row>
    <row r="101" spans="1:16" ht="15" customHeight="1" x14ac:dyDescent="0.2">
      <c r="A101" s="10" t="s">
        <v>358</v>
      </c>
      <c r="B101" s="90">
        <v>4328.1959999999999</v>
      </c>
      <c r="C101" s="95">
        <v>1715.5910000000001</v>
      </c>
      <c r="D101" s="90">
        <v>17.3</v>
      </c>
      <c r="E101" s="95">
        <v>54.745002910000004</v>
      </c>
      <c r="F101" s="90">
        <v>3153.3119569999999</v>
      </c>
      <c r="G101" s="95">
        <v>2428.9301209999999</v>
      </c>
      <c r="H101" s="95">
        <v>6.4079740000000003</v>
      </c>
      <c r="I101" s="95">
        <v>4897.7814290000006</v>
      </c>
      <c r="J101" s="90">
        <v>10486.431481</v>
      </c>
      <c r="K101" s="95">
        <v>35.951774222136891</v>
      </c>
      <c r="L101" s="58">
        <v>2.4977710201491163</v>
      </c>
      <c r="M101" s="58">
        <v>4.853933985320289</v>
      </c>
      <c r="N101" s="58">
        <v>1.2698933298156141</v>
      </c>
      <c r="O101" s="57">
        <v>1097.6199999999999</v>
      </c>
      <c r="P101" s="58">
        <v>795.95237999999995</v>
      </c>
    </row>
    <row r="102" spans="1:16" ht="15" customHeight="1" x14ac:dyDescent="0.2">
      <c r="A102" s="11" t="s">
        <v>405</v>
      </c>
      <c r="B102" s="97">
        <v>2997.9360000000001</v>
      </c>
      <c r="C102" s="97">
        <v>1451.2439999999999</v>
      </c>
      <c r="D102" s="97">
        <v>0</v>
      </c>
      <c r="E102" s="97">
        <v>40.285513559999998</v>
      </c>
      <c r="F102" s="97">
        <v>2352.2750110000002</v>
      </c>
      <c r="G102" s="97">
        <v>2163.7362950000002</v>
      </c>
      <c r="H102" s="91">
        <v>0</v>
      </c>
      <c r="I102" s="97">
        <v>5867.2922040000003</v>
      </c>
      <c r="J102" s="97">
        <v>10383.303510000002</v>
      </c>
      <c r="K102" s="97">
        <v>35.057456725581368</v>
      </c>
      <c r="L102" s="61">
        <v>2.6491746791579631</v>
      </c>
      <c r="M102" s="60">
        <v>5.033948296622107</v>
      </c>
      <c r="N102" s="61"/>
      <c r="O102" s="61">
        <v>1128.69048</v>
      </c>
      <c r="P102" s="61">
        <v>843.80952000000002</v>
      </c>
    </row>
    <row r="103" spans="1:16" ht="15" customHeight="1" x14ac:dyDescent="0.2">
      <c r="A103" s="11" t="s">
        <v>406</v>
      </c>
      <c r="B103" s="91">
        <v>2613.8309999999997</v>
      </c>
      <c r="C103" s="97">
        <v>1601.8150000000001</v>
      </c>
      <c r="D103" s="91">
        <v>17.100000000000001</v>
      </c>
      <c r="E103" s="97">
        <v>38.330764510000002</v>
      </c>
      <c r="F103" s="91">
        <v>2173.258718</v>
      </c>
      <c r="G103" s="97">
        <v>2610.3962339999998</v>
      </c>
      <c r="H103" s="91">
        <v>12.325869000000001</v>
      </c>
      <c r="I103" s="97">
        <v>7542.0997529999995</v>
      </c>
      <c r="J103" s="91">
        <v>12338.080574</v>
      </c>
      <c r="K103" s="97">
        <v>41.569876133494425</v>
      </c>
      <c r="L103" s="61">
        <v>2.8013350453667294</v>
      </c>
      <c r="M103" s="60">
        <v>5.4906682778927305</v>
      </c>
      <c r="N103" s="61">
        <v>2.428580847226073</v>
      </c>
      <c r="O103" s="60">
        <v>1231.71875</v>
      </c>
      <c r="P103" s="61">
        <v>846.17646999999999</v>
      </c>
    </row>
    <row r="104" spans="1:16" ht="15" customHeight="1" x14ac:dyDescent="0.2">
      <c r="A104" s="11" t="s">
        <v>407</v>
      </c>
      <c r="B104" s="91">
        <v>3619.8090000000002</v>
      </c>
      <c r="C104" s="97">
        <v>2218.0709999999999</v>
      </c>
      <c r="D104" s="91">
        <v>18.8</v>
      </c>
      <c r="E104" s="97">
        <v>53.054045390000006</v>
      </c>
      <c r="F104" s="91">
        <v>2740.1031229999999</v>
      </c>
      <c r="G104" s="97">
        <v>3758.8781770000001</v>
      </c>
      <c r="H104" s="91">
        <v>20.522476999999999</v>
      </c>
      <c r="I104" s="97">
        <v>6604.5287650000009</v>
      </c>
      <c r="J104" s="91">
        <v>13124.032542000001</v>
      </c>
      <c r="K104" s="97">
        <v>44.351582892037754</v>
      </c>
      <c r="L104" s="61">
        <v>2.5581327508782783</v>
      </c>
      <c r="M104" s="60">
        <v>5.7269663677931284</v>
      </c>
      <c r="N104" s="61">
        <v>3.689043310684287</v>
      </c>
      <c r="O104" s="60">
        <v>1163.7151699999999</v>
      </c>
      <c r="P104" s="61">
        <v>859.60526000000004</v>
      </c>
    </row>
    <row r="105" spans="1:16" ht="15" customHeight="1" x14ac:dyDescent="0.2">
      <c r="A105" s="11" t="s">
        <v>408</v>
      </c>
      <c r="B105" s="91">
        <v>2580.8179999999998</v>
      </c>
      <c r="C105" s="97">
        <v>1627.8420000000001</v>
      </c>
      <c r="D105" s="91">
        <v>9.25</v>
      </c>
      <c r="E105" s="97">
        <v>38.232542779999996</v>
      </c>
      <c r="F105" s="91">
        <v>1917.2628460000001</v>
      </c>
      <c r="G105" s="97">
        <v>2715.827468</v>
      </c>
      <c r="H105" s="91">
        <v>9.5332530000000002</v>
      </c>
      <c r="I105" s="97">
        <v>5527.1156599999995</v>
      </c>
      <c r="J105" s="91">
        <v>10169.739227</v>
      </c>
      <c r="K105" s="97">
        <v>34.065917488691298</v>
      </c>
      <c r="L105" s="61">
        <v>2.4884822685005377</v>
      </c>
      <c r="M105" s="60">
        <v>5.5885636324749441</v>
      </c>
      <c r="N105" s="61">
        <v>3.4523089913079299</v>
      </c>
      <c r="O105" s="60">
        <v>1218.16176</v>
      </c>
      <c r="P105" s="61">
        <v>883.67646999999999</v>
      </c>
    </row>
    <row r="106" spans="1:16" ht="15" customHeight="1" x14ac:dyDescent="0.2">
      <c r="A106" s="11" t="s">
        <v>409</v>
      </c>
      <c r="B106" s="91">
        <v>4082.846</v>
      </c>
      <c r="C106" s="97">
        <v>1873.943</v>
      </c>
      <c r="D106" s="91">
        <v>0</v>
      </c>
      <c r="E106" s="97">
        <v>53.916272910000004</v>
      </c>
      <c r="F106" s="91">
        <v>3330.4898539999999</v>
      </c>
      <c r="G106" s="97">
        <v>3163.6857909999999</v>
      </c>
      <c r="H106" s="91">
        <v>0</v>
      </c>
      <c r="I106" s="97">
        <v>6406.5437899999997</v>
      </c>
      <c r="J106" s="91">
        <v>12900.719434999999</v>
      </c>
      <c r="K106" s="97">
        <v>43.086531750999114</v>
      </c>
      <c r="L106" s="61">
        <v>2.7244116107695118</v>
      </c>
      <c r="M106" s="60">
        <v>5.6385128420461257</v>
      </c>
      <c r="N106" s="61"/>
      <c r="O106" s="60">
        <v>1325</v>
      </c>
      <c r="P106" s="61">
        <v>946.05263000000002</v>
      </c>
    </row>
    <row r="107" spans="1:16" ht="15" customHeight="1" x14ac:dyDescent="0.2">
      <c r="A107" s="11" t="s">
        <v>410</v>
      </c>
      <c r="B107" s="91">
        <v>4672.84</v>
      </c>
      <c r="C107" s="97">
        <v>2379.1779999999999</v>
      </c>
      <c r="D107" s="91">
        <v>32.58</v>
      </c>
      <c r="E107" s="97">
        <v>64.055232900000007</v>
      </c>
      <c r="F107" s="91">
        <v>4454.6431270000003</v>
      </c>
      <c r="G107" s="97">
        <v>4260.6985180000001</v>
      </c>
      <c r="H107" s="91">
        <v>21.301404999999999</v>
      </c>
      <c r="I107" s="97">
        <v>6424.770289</v>
      </c>
      <c r="J107" s="91">
        <v>15161.413339000001</v>
      </c>
      <c r="K107" s="97">
        <v>50.55466009495121</v>
      </c>
      <c r="L107" s="61">
        <v>3.178729067736406</v>
      </c>
      <c r="M107" s="60">
        <v>5.9713891772412273</v>
      </c>
      <c r="N107" s="61">
        <v>2.1801113529311249</v>
      </c>
      <c r="O107" s="60">
        <v>1152.75</v>
      </c>
      <c r="P107" s="61">
        <v>903.75</v>
      </c>
    </row>
    <row r="108" spans="1:16" ht="15" customHeight="1" x14ac:dyDescent="0.2">
      <c r="A108" s="11" t="s">
        <v>411</v>
      </c>
      <c r="B108" s="91">
        <v>5763.1710000000003</v>
      </c>
      <c r="C108" s="97">
        <v>2870.8239999999996</v>
      </c>
      <c r="D108" s="91">
        <v>64.674999999999997</v>
      </c>
      <c r="E108" s="97">
        <v>78.548846659999995</v>
      </c>
      <c r="F108" s="91">
        <v>5269.2680559999999</v>
      </c>
      <c r="G108" s="97">
        <v>4959.1286099999998</v>
      </c>
      <c r="H108" s="91">
        <v>48.336399999999998</v>
      </c>
      <c r="I108" s="97">
        <v>7540.9713080000001</v>
      </c>
      <c r="J108" s="91">
        <v>17817.704374000001</v>
      </c>
      <c r="K108" s="97">
        <v>59.171107143722949</v>
      </c>
      <c r="L108" s="61">
        <v>3.0363143561858426</v>
      </c>
      <c r="M108" s="60">
        <v>5.7366288088819415</v>
      </c>
      <c r="N108" s="61">
        <v>2.4819659029459142</v>
      </c>
      <c r="O108" s="60">
        <v>1087.8409099999999</v>
      </c>
      <c r="P108" s="61">
        <v>880</v>
      </c>
    </row>
    <row r="109" spans="1:16" ht="15" customHeight="1" x14ac:dyDescent="0.2">
      <c r="A109" s="11" t="s">
        <v>412</v>
      </c>
      <c r="B109" s="91">
        <v>5925.915</v>
      </c>
      <c r="C109" s="97">
        <v>2416.0929999999998</v>
      </c>
      <c r="D109" s="91">
        <v>175.05</v>
      </c>
      <c r="E109" s="97">
        <v>76.407833650000001</v>
      </c>
      <c r="F109" s="91">
        <v>5255.1216489999997</v>
      </c>
      <c r="G109" s="97">
        <v>4122.6411879999996</v>
      </c>
      <c r="H109" s="91">
        <v>92.440814000000003</v>
      </c>
      <c r="I109" s="97">
        <v>8526.1011760000001</v>
      </c>
      <c r="J109" s="91">
        <v>17996.304827</v>
      </c>
      <c r="K109" s="97">
        <v>59.691394571147015</v>
      </c>
      <c r="L109" s="61">
        <v>2.9414111930167404</v>
      </c>
      <c r="M109" s="60">
        <v>5.6596591318413596</v>
      </c>
      <c r="N109" s="61">
        <v>1.7515802136393859</v>
      </c>
      <c r="O109" s="60">
        <v>1090.0625</v>
      </c>
      <c r="P109" s="61">
        <v>898.5</v>
      </c>
    </row>
    <row r="110" spans="1:16" ht="15" customHeight="1" x14ac:dyDescent="0.2">
      <c r="A110" s="11" t="s">
        <v>413</v>
      </c>
      <c r="B110" s="91">
        <v>5421.04</v>
      </c>
      <c r="C110" s="97">
        <v>2605.154</v>
      </c>
      <c r="D110" s="91">
        <v>148.79999999999998</v>
      </c>
      <c r="E110" s="97">
        <v>73.4885929</v>
      </c>
      <c r="F110" s="91">
        <v>5018.7657440000003</v>
      </c>
      <c r="G110" s="97">
        <v>4284.3849620000001</v>
      </c>
      <c r="H110" s="91">
        <v>85.801708000000005</v>
      </c>
      <c r="I110" s="97">
        <v>8206.7653680000003</v>
      </c>
      <c r="J110" s="91">
        <v>17595.717782</v>
      </c>
      <c r="K110" s="97">
        <v>58.226273329682272</v>
      </c>
      <c r="L110" s="61">
        <v>3.0635595049367965</v>
      </c>
      <c r="M110" s="60">
        <v>5.4421071981852034</v>
      </c>
      <c r="N110" s="61">
        <v>1.9081170358937514</v>
      </c>
      <c r="O110" s="60">
        <v>1127.68</v>
      </c>
      <c r="P110" s="61">
        <v>890.95237999999995</v>
      </c>
    </row>
    <row r="111" spans="1:16" ht="15" customHeight="1" x14ac:dyDescent="0.2">
      <c r="A111" s="11" t="s">
        <v>404</v>
      </c>
      <c r="B111" s="91">
        <v>5650.5070000000005</v>
      </c>
      <c r="C111" s="97">
        <v>2927.2849999999999</v>
      </c>
      <c r="D111" s="91">
        <v>181.15</v>
      </c>
      <c r="E111" s="97">
        <v>78.702253970000001</v>
      </c>
      <c r="F111" s="91">
        <v>4777.4804599999998</v>
      </c>
      <c r="G111" s="97">
        <v>4793.8869599999998</v>
      </c>
      <c r="H111" s="91">
        <v>104.424779</v>
      </c>
      <c r="I111" s="97">
        <v>7379.8756690000009</v>
      </c>
      <c r="J111" s="91">
        <v>17055.667868</v>
      </c>
      <c r="K111" s="97">
        <v>56.265099909115051</v>
      </c>
      <c r="L111" s="61">
        <v>2.7892141921365692</v>
      </c>
      <c r="M111" s="60">
        <v>5.4024797282170622</v>
      </c>
      <c r="N111" s="61">
        <v>1.9016719060843359</v>
      </c>
      <c r="O111" s="60">
        <v>1075.5952400000001</v>
      </c>
      <c r="P111" s="61">
        <v>863.80952000000002</v>
      </c>
    </row>
    <row r="112" spans="1:16" ht="15" customHeight="1" x14ac:dyDescent="0.2">
      <c r="A112" s="11" t="s">
        <v>414</v>
      </c>
      <c r="B112" s="91">
        <v>4889.1460000000006</v>
      </c>
      <c r="C112" s="97">
        <v>2364.067</v>
      </c>
      <c r="D112" s="91">
        <v>77.8</v>
      </c>
      <c r="E112" s="97">
        <v>66.102267909999995</v>
      </c>
      <c r="F112" s="91">
        <v>4240.8405430000003</v>
      </c>
      <c r="G112" s="97">
        <v>3863.1115119999999</v>
      </c>
      <c r="H112" s="91">
        <v>43.881174999999999</v>
      </c>
      <c r="I112" s="97">
        <v>6292.8255600000002</v>
      </c>
      <c r="J112" s="91">
        <v>14440.658790000001</v>
      </c>
      <c r="K112" s="97">
        <v>47.138241242773717</v>
      </c>
      <c r="L112" s="61">
        <v>2.8314265823354239</v>
      </c>
      <c r="M112" s="60">
        <v>5.3341329027194533</v>
      </c>
      <c r="N112" s="61">
        <v>1.8411323943244531</v>
      </c>
      <c r="O112" s="60">
        <v>1022.77778</v>
      </c>
      <c r="P112" s="61">
        <v>859.72221999999999</v>
      </c>
    </row>
    <row r="113" spans="1:16" ht="15" customHeight="1" x14ac:dyDescent="0.2">
      <c r="A113" s="11" t="s">
        <v>415</v>
      </c>
      <c r="B113" s="91">
        <v>3904.7950000000001</v>
      </c>
      <c r="C113" s="97">
        <v>2335.6309999999999</v>
      </c>
      <c r="D113" s="91">
        <v>60.8</v>
      </c>
      <c r="E113" s="97">
        <v>56.925949950000003</v>
      </c>
      <c r="F113" s="91">
        <v>3707.9942219999998</v>
      </c>
      <c r="G113" s="97">
        <v>3972.7440179999999</v>
      </c>
      <c r="H113" s="91">
        <v>31.416398000000001</v>
      </c>
      <c r="I113" s="97">
        <v>6005.0573910000003</v>
      </c>
      <c r="J113" s="91">
        <v>13717.212029</v>
      </c>
      <c r="K113" s="97">
        <v>44.363428531417597</v>
      </c>
      <c r="L113" s="61">
        <v>3.0711431561968201</v>
      </c>
      <c r="M113" s="60">
        <v>5.5010501244274526</v>
      </c>
      <c r="N113" s="61">
        <v>1.6711370256956597</v>
      </c>
      <c r="O113" s="60">
        <v>968.25</v>
      </c>
      <c r="P113" s="61">
        <v>876</v>
      </c>
    </row>
    <row r="114" spans="1:16" ht="15" customHeight="1" x14ac:dyDescent="0.2">
      <c r="A114" s="10" t="s">
        <v>399</v>
      </c>
      <c r="B114" s="90">
        <v>4700.2870000000003</v>
      </c>
      <c r="C114" s="95">
        <v>2397.817</v>
      </c>
      <c r="D114" s="90">
        <v>42.5</v>
      </c>
      <c r="E114" s="95">
        <v>64.528128770000009</v>
      </c>
      <c r="F114" s="90">
        <v>3231.5377709999998</v>
      </c>
      <c r="G114" s="95">
        <v>3986.94182</v>
      </c>
      <c r="H114" s="90">
        <v>25.346077000000001</v>
      </c>
      <c r="I114" s="95">
        <v>6446.4689680000001</v>
      </c>
      <c r="J114" s="90">
        <v>13690.294635999999</v>
      </c>
      <c r="K114" s="95">
        <v>44.211572318919721</v>
      </c>
      <c r="L114" s="58">
        <v>2.2202814214769608</v>
      </c>
      <c r="M114" s="57">
        <v>5.3696629795919515</v>
      </c>
      <c r="N114" s="58">
        <v>1.9259498981377643</v>
      </c>
      <c r="O114" s="57">
        <v>892</v>
      </c>
      <c r="P114" s="58">
        <v>859.5</v>
      </c>
    </row>
    <row r="115" spans="1:16" ht="15" customHeight="1" x14ac:dyDescent="0.2">
      <c r="A115" s="10" t="s">
        <v>400</v>
      </c>
      <c r="B115" s="90">
        <v>5044.8069999999998</v>
      </c>
      <c r="C115" s="95">
        <v>2428.0160000000001</v>
      </c>
      <c r="D115" s="90">
        <v>31.5</v>
      </c>
      <c r="E115" s="95">
        <v>67.833868719999998</v>
      </c>
      <c r="F115" s="90">
        <v>3787.5685570000001</v>
      </c>
      <c r="G115" s="95">
        <v>3684.9453749999998</v>
      </c>
      <c r="H115" s="90">
        <v>18.404662999999999</v>
      </c>
      <c r="I115" s="95">
        <v>7220.8004280000005</v>
      </c>
      <c r="J115" s="90">
        <v>14711.719023000001</v>
      </c>
      <c r="K115" s="95">
        <v>47.554752763574797</v>
      </c>
      <c r="L115" s="58">
        <v>2.4268696632727003</v>
      </c>
      <c r="M115" s="57">
        <v>4.9058020049943885</v>
      </c>
      <c r="N115" s="58">
        <v>1.8886340802415014</v>
      </c>
      <c r="O115" s="57">
        <v>813.75</v>
      </c>
      <c r="P115" s="58">
        <v>865.78946999999994</v>
      </c>
    </row>
    <row r="116" spans="1:16" ht="15" customHeight="1" x14ac:dyDescent="0.2">
      <c r="A116" s="10" t="s">
        <v>401</v>
      </c>
      <c r="B116" s="90">
        <v>4723.24</v>
      </c>
      <c r="C116" s="95">
        <v>2910.154</v>
      </c>
      <c r="D116" s="90">
        <v>77</v>
      </c>
      <c r="E116" s="95">
        <v>69.662654900000007</v>
      </c>
      <c r="F116" s="90">
        <v>3255.8179639999998</v>
      </c>
      <c r="G116" s="95">
        <v>4394.2036959999996</v>
      </c>
      <c r="H116" s="90">
        <v>44.986088000000002</v>
      </c>
      <c r="I116" s="95">
        <v>8034.133581</v>
      </c>
      <c r="J116" s="90">
        <v>15729.141328999998</v>
      </c>
      <c r="K116" s="95">
        <v>50.427992330551248</v>
      </c>
      <c r="L116" s="58">
        <v>2.2099719668054258</v>
      </c>
      <c r="M116" s="57">
        <v>4.8409531188173371</v>
      </c>
      <c r="N116" s="58">
        <v>1.8730706844471938</v>
      </c>
      <c r="O116" s="57">
        <v>725.7</v>
      </c>
      <c r="P116" s="58">
        <v>865.2</v>
      </c>
    </row>
    <row r="117" spans="1:16" ht="15" customHeight="1" x14ac:dyDescent="0.2">
      <c r="A117" s="166" t="s">
        <v>402</v>
      </c>
      <c r="B117" s="201">
        <v>4570.0540000000001</v>
      </c>
      <c r="C117" s="202">
        <v>2064.7540000000004</v>
      </c>
      <c r="D117" s="201">
        <v>120.7</v>
      </c>
      <c r="E117" s="202">
        <v>60.710508340000004</v>
      </c>
      <c r="F117" s="201">
        <v>3115.49217</v>
      </c>
      <c r="G117" s="202">
        <v>2927.7695359999998</v>
      </c>
      <c r="H117" s="201">
        <v>67.698882999999995</v>
      </c>
      <c r="I117" s="202">
        <v>7670.9417889999995</v>
      </c>
      <c r="J117" s="202">
        <v>13781.902377999999</v>
      </c>
      <c r="K117" s="202">
        <v>43.551389005898216</v>
      </c>
      <c r="L117" s="197">
        <v>2.1542602785520146</v>
      </c>
      <c r="M117" s="203">
        <v>4.4808603899615758</v>
      </c>
      <c r="N117" s="197">
        <v>1.7724217647815321</v>
      </c>
      <c r="O117" s="203">
        <v>769.65625</v>
      </c>
      <c r="P117" s="197">
        <v>923.83333333333337</v>
      </c>
    </row>
    <row r="118" spans="1:16" ht="15" customHeight="1" x14ac:dyDescent="0.2">
      <c r="A118" s="195"/>
      <c r="B118" s="84"/>
      <c r="C118" s="84"/>
      <c r="D118" s="84"/>
      <c r="E118" s="84"/>
      <c r="F118" s="84"/>
      <c r="G118" s="84"/>
      <c r="H118" s="84"/>
      <c r="I118" s="84"/>
      <c r="J118" s="84"/>
      <c r="K118" s="84"/>
      <c r="L118" s="63"/>
      <c r="M118" s="63"/>
      <c r="N118" s="63"/>
      <c r="O118" s="63"/>
      <c r="P118" s="63"/>
    </row>
    <row r="119" spans="1:16" s="30" customFormat="1" ht="15" customHeight="1" x14ac:dyDescent="0.2">
      <c r="A119" s="30" t="s">
        <v>315</v>
      </c>
      <c r="B119" s="19"/>
      <c r="C119" s="164"/>
      <c r="D119" s="164"/>
      <c r="E119" s="164"/>
      <c r="F119" s="164"/>
      <c r="G119" s="164"/>
      <c r="H119" s="164"/>
      <c r="I119" s="164"/>
      <c r="J119" s="164"/>
      <c r="K119" s="164"/>
      <c r="N119" s="161" t="s">
        <v>5</v>
      </c>
      <c r="O119" s="30" t="s">
        <v>318</v>
      </c>
    </row>
    <row r="120" spans="1:16" ht="15" customHeight="1" x14ac:dyDescent="0.2">
      <c r="A120" s="30" t="s">
        <v>316</v>
      </c>
      <c r="C120" s="77"/>
      <c r="D120" s="77"/>
      <c r="E120" s="77"/>
      <c r="F120" s="77"/>
      <c r="G120" s="77"/>
      <c r="H120" s="98"/>
      <c r="I120" s="98"/>
      <c r="J120" s="98"/>
      <c r="K120" s="98"/>
      <c r="L120" s="99"/>
      <c r="M120" s="99"/>
      <c r="N120" s="99"/>
      <c r="O120" s="19" t="s">
        <v>113</v>
      </c>
    </row>
    <row r="121" spans="1:16" ht="15" customHeight="1" x14ac:dyDescent="0.2">
      <c r="A121" s="19" t="s">
        <v>317</v>
      </c>
      <c r="B121" s="79"/>
      <c r="O121" s="83" t="s">
        <v>114</v>
      </c>
    </row>
    <row r="122" spans="1:16" ht="15" customHeight="1" x14ac:dyDescent="0.2">
      <c r="A122" s="19" t="s">
        <v>403</v>
      </c>
      <c r="N122" s="83"/>
    </row>
    <row r="123" spans="1:16" ht="15" customHeight="1" x14ac:dyDescent="0.2">
      <c r="L123" s="92"/>
    </row>
    <row r="124" spans="1:16" ht="15" customHeight="1" x14ac:dyDescent="0.2">
      <c r="B124" s="92"/>
      <c r="C124" s="92"/>
      <c r="D124" s="92"/>
      <c r="E124" s="92"/>
      <c r="F124" s="92"/>
      <c r="G124" s="92"/>
      <c r="H124" s="92"/>
      <c r="I124" s="92"/>
      <c r="J124" s="92"/>
      <c r="K124" s="92"/>
      <c r="L124" s="92"/>
      <c r="M124" s="92"/>
      <c r="N124" s="92"/>
      <c r="O124" s="92"/>
      <c r="P124" s="92"/>
    </row>
  </sheetData>
  <mergeCells count="11">
    <mergeCell ref="L7:N7"/>
    <mergeCell ref="A4:P4"/>
    <mergeCell ref="A5:A8"/>
    <mergeCell ref="B5:K5"/>
    <mergeCell ref="L5:P5"/>
    <mergeCell ref="B6:D7"/>
    <mergeCell ref="E6:E8"/>
    <mergeCell ref="F6:J7"/>
    <mergeCell ref="K6:K7"/>
    <mergeCell ref="L6:N6"/>
    <mergeCell ref="O6:P7"/>
  </mergeCells>
  <phoneticPr fontId="19" type="noConversion"/>
  <hyperlinks>
    <hyperlink ref="P2" location="Contents!A1" display="Back to Contents" xr:uid="{F89135A2-5A4E-4FB6-96CC-2F5FE6B9E7A8}"/>
  </hyperlinks>
  <printOptions verticalCentered="1"/>
  <pageMargins left="0.59055118110236227" right="0.70866141732283472" top="0.35433070866141736" bottom="0.59055118110236227" header="0.51181102362204722" footer="0.51181102362204722"/>
  <pageSetup paperSize="9" scale="55" orientation="landscape" r:id="rId1"/>
  <headerFooter alignWithMargins="0">
    <oddHeader>&amp;L&amp;"Calibri"&amp;10&amp;K000000 [Limited Sharing]&amp;1#_x000D_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D3AEB-345B-4160-9F60-959547A5D869}">
  <sheetPr>
    <pageSetUpPr fitToPage="1"/>
  </sheetPr>
  <dimension ref="A1:BC118"/>
  <sheetViews>
    <sheetView zoomScaleNormal="100" zoomScaleSheetLayoutView="100" workbookViewId="0">
      <selection activeCell="R2" sqref="R2"/>
    </sheetView>
  </sheetViews>
  <sheetFormatPr defaultRowHeight="15" customHeight="1" x14ac:dyDescent="0.2"/>
  <cols>
    <col min="1" max="1" width="12" style="19" customWidth="1"/>
    <col min="2" max="2" width="11.42578125" style="19" customWidth="1"/>
    <col min="3" max="3" width="12.28515625" style="19" customWidth="1"/>
    <col min="4" max="4" width="12.7109375" style="19" customWidth="1"/>
    <col min="5" max="5" width="10.140625" style="19" customWidth="1"/>
    <col min="6" max="6" width="10.7109375" style="19" customWidth="1"/>
    <col min="7" max="7" width="11.5703125" style="19" customWidth="1"/>
    <col min="8" max="8" width="8" style="19" customWidth="1"/>
    <col min="9" max="9" width="11.5703125" style="19" customWidth="1"/>
    <col min="10" max="10" width="12.28515625" style="19" customWidth="1"/>
    <col min="11" max="13" width="8" style="19" customWidth="1"/>
    <col min="14" max="14" width="11.28515625" style="19" customWidth="1"/>
    <col min="15" max="17" width="8" style="19" customWidth="1"/>
    <col min="18" max="18" width="12.140625" style="19" customWidth="1"/>
    <col min="19" max="16384" width="9.140625" style="19"/>
  </cols>
  <sheetData>
    <row r="1" spans="1:55" s="16" customFormat="1" ht="15" customHeight="1" x14ac:dyDescent="0.25">
      <c r="A1" s="13" t="s">
        <v>29</v>
      </c>
      <c r="Q1" s="13" t="s">
        <v>117</v>
      </c>
      <c r="R1" s="15" t="s">
        <v>183</v>
      </c>
    </row>
    <row r="2" spans="1:55" s="16" customFormat="1" ht="15" customHeight="1" x14ac:dyDescent="0.25">
      <c r="A2" s="54" t="s">
        <v>286</v>
      </c>
      <c r="Q2" s="13"/>
      <c r="R2" s="17" t="s">
        <v>10</v>
      </c>
    </row>
    <row r="3" spans="1:55" s="16" customFormat="1" ht="15" customHeight="1" x14ac:dyDescent="0.25">
      <c r="A3" s="54"/>
      <c r="Q3" s="13"/>
    </row>
    <row r="4" spans="1:55" s="16" customFormat="1" ht="15" customHeight="1" x14ac:dyDescent="0.3">
      <c r="A4" s="245" t="s">
        <v>186</v>
      </c>
      <c r="B4" s="245"/>
      <c r="C4" s="245"/>
      <c r="D4" s="245"/>
      <c r="E4" s="245"/>
      <c r="F4" s="245"/>
      <c r="G4" s="245"/>
      <c r="H4" s="245"/>
      <c r="I4" s="245"/>
      <c r="J4" s="245"/>
      <c r="K4" s="245"/>
      <c r="L4" s="245"/>
      <c r="M4" s="245"/>
      <c r="N4" s="245"/>
      <c r="O4" s="245"/>
      <c r="P4" s="245"/>
      <c r="Q4" s="245"/>
      <c r="R4" s="245"/>
    </row>
    <row r="5" spans="1:55" s="16" customFormat="1" ht="15" customHeight="1" x14ac:dyDescent="0.3">
      <c r="A5" s="93"/>
      <c r="B5" s="93"/>
      <c r="C5" s="93"/>
      <c r="D5" s="93"/>
      <c r="E5" s="93"/>
      <c r="F5" s="93"/>
      <c r="G5" s="93"/>
      <c r="H5" s="93"/>
      <c r="I5" s="93"/>
      <c r="J5" s="93"/>
      <c r="K5" s="93"/>
      <c r="L5" s="93"/>
      <c r="M5" s="93"/>
      <c r="N5" s="93"/>
      <c r="O5" s="93"/>
      <c r="P5" s="93"/>
      <c r="Q5" s="93"/>
      <c r="R5" s="103" t="s">
        <v>187</v>
      </c>
    </row>
    <row r="6" spans="1:55" s="99" customFormat="1" ht="15" customHeight="1" x14ac:dyDescent="0.2">
      <c r="A6" s="230" t="s">
        <v>3</v>
      </c>
      <c r="B6" s="230" t="s">
        <v>162</v>
      </c>
      <c r="C6" s="230"/>
      <c r="D6" s="230"/>
      <c r="E6" s="230"/>
      <c r="F6" s="230"/>
      <c r="G6" s="258" t="s">
        <v>163</v>
      </c>
      <c r="H6" s="259" t="s">
        <v>164</v>
      </c>
      <c r="I6" s="230" t="s">
        <v>165</v>
      </c>
      <c r="J6" s="230"/>
      <c r="K6" s="230"/>
      <c r="L6" s="230"/>
      <c r="M6" s="230"/>
      <c r="N6" s="230"/>
      <c r="O6" s="230"/>
      <c r="P6" s="230"/>
      <c r="Q6" s="230"/>
      <c r="R6" s="230"/>
    </row>
    <row r="7" spans="1:55" s="99" customFormat="1" ht="80.099999999999994" customHeight="1" x14ac:dyDescent="0.2">
      <c r="A7" s="230"/>
      <c r="B7" s="135" t="s">
        <v>167</v>
      </c>
      <c r="C7" s="134" t="s">
        <v>168</v>
      </c>
      <c r="D7" s="134" t="s">
        <v>169</v>
      </c>
      <c r="E7" s="135" t="s">
        <v>170</v>
      </c>
      <c r="F7" s="134" t="s">
        <v>171</v>
      </c>
      <c r="G7" s="258"/>
      <c r="H7" s="259"/>
      <c r="I7" s="134" t="s">
        <v>172</v>
      </c>
      <c r="J7" s="134" t="s">
        <v>173</v>
      </c>
      <c r="K7" s="134" t="s">
        <v>174</v>
      </c>
      <c r="L7" s="135" t="s">
        <v>175</v>
      </c>
      <c r="M7" s="134" t="s">
        <v>176</v>
      </c>
      <c r="N7" s="134" t="s">
        <v>177</v>
      </c>
      <c r="O7" s="134" t="s">
        <v>178</v>
      </c>
      <c r="P7" s="134" t="s">
        <v>179</v>
      </c>
      <c r="Q7" s="134" t="s">
        <v>180</v>
      </c>
      <c r="R7" s="134" t="s">
        <v>181</v>
      </c>
    </row>
    <row r="8" spans="1:55" ht="15" customHeight="1" x14ac:dyDescent="0.2">
      <c r="A8" s="35" t="s">
        <v>48</v>
      </c>
      <c r="B8" s="90">
        <v>19089.518000000004</v>
      </c>
      <c r="C8" s="90">
        <v>9542.1409999999996</v>
      </c>
      <c r="D8" s="90">
        <v>2597.2199999999998</v>
      </c>
      <c r="E8" s="90">
        <v>2451.1659999999997</v>
      </c>
      <c r="F8" s="90">
        <v>1446.568</v>
      </c>
      <c r="G8" s="90">
        <v>33206.352000000006</v>
      </c>
      <c r="H8" s="90">
        <v>843.07199999999989</v>
      </c>
      <c r="I8" s="90">
        <v>38725.032999999996</v>
      </c>
      <c r="J8" s="90">
        <v>11500.550000000001</v>
      </c>
      <c r="K8" s="90">
        <v>2.2939999999999996</v>
      </c>
      <c r="L8" s="90">
        <v>255.30699999999993</v>
      </c>
      <c r="M8" s="90">
        <v>26.648999999999997</v>
      </c>
      <c r="N8" s="90">
        <v>12583.981</v>
      </c>
      <c r="O8" s="90">
        <v>3939.6910000000003</v>
      </c>
      <c r="P8" s="90">
        <v>183.02800000000002</v>
      </c>
      <c r="Q8" s="90">
        <v>39.701000000000001</v>
      </c>
      <c r="R8" s="95">
        <v>29018.667999999994</v>
      </c>
    </row>
    <row r="9" spans="1:55" ht="15" customHeight="1" x14ac:dyDescent="0.2">
      <c r="A9" s="34" t="s">
        <v>49</v>
      </c>
      <c r="B9" s="91">
        <v>19194.822000000004</v>
      </c>
      <c r="C9" s="91">
        <v>18575.146999999997</v>
      </c>
      <c r="D9" s="91">
        <v>6486.5070000000005</v>
      </c>
      <c r="E9" s="91">
        <v>2650.9229999999998</v>
      </c>
      <c r="F9" s="91">
        <v>1503.9650000000015</v>
      </c>
      <c r="G9" s="91">
        <v>21540.179999999997</v>
      </c>
      <c r="H9" s="91">
        <v>824.53800000000001</v>
      </c>
      <c r="I9" s="91">
        <v>43425.558000000005</v>
      </c>
      <c r="J9" s="91">
        <v>15622.82</v>
      </c>
      <c r="K9" s="91">
        <v>2736.4489999999996</v>
      </c>
      <c r="L9" s="91">
        <v>159.41900000000001</v>
      </c>
      <c r="M9" s="91">
        <v>30.478000000000005</v>
      </c>
      <c r="N9" s="91">
        <v>10488.256000000001</v>
      </c>
      <c r="O9" s="91">
        <v>3833.6750000000002</v>
      </c>
      <c r="P9" s="91">
        <v>239.36799999999999</v>
      </c>
      <c r="Q9" s="91">
        <v>31.329000000000001</v>
      </c>
      <c r="R9" s="97">
        <v>31216.028999999995</v>
      </c>
    </row>
    <row r="10" spans="1:55" ht="15" customHeight="1" x14ac:dyDescent="0.2">
      <c r="A10" s="35" t="s">
        <v>50</v>
      </c>
      <c r="B10" s="90">
        <v>18518.558000000001</v>
      </c>
      <c r="C10" s="90">
        <v>11804.84</v>
      </c>
      <c r="D10" s="95">
        <v>2337.8540000000003</v>
      </c>
      <c r="E10" s="95">
        <v>2604.442</v>
      </c>
      <c r="F10" s="95">
        <v>1191.1699999999994</v>
      </c>
      <c r="G10" s="101">
        <v>15835.473</v>
      </c>
      <c r="H10" s="90">
        <v>839.28100000000006</v>
      </c>
      <c r="I10" s="95">
        <v>41526.479999999989</v>
      </c>
      <c r="J10" s="101">
        <v>21232.927000000003</v>
      </c>
      <c r="K10" s="90">
        <v>7488.2739999999985</v>
      </c>
      <c r="L10" s="90">
        <v>67.073000000000008</v>
      </c>
      <c r="M10" s="90">
        <v>26.581999999999994</v>
      </c>
      <c r="N10" s="90">
        <v>16977.710999999999</v>
      </c>
      <c r="O10" s="90">
        <v>3908.0730000000008</v>
      </c>
      <c r="P10" s="90">
        <v>226.12</v>
      </c>
      <c r="Q10" s="90">
        <v>67.921999999999997</v>
      </c>
      <c r="R10" s="95">
        <v>27629.570999999996</v>
      </c>
    </row>
    <row r="11" spans="1:55" ht="15" customHeight="1" x14ac:dyDescent="0.2">
      <c r="A11" s="34" t="s">
        <v>51</v>
      </c>
      <c r="B11" s="97">
        <v>19881.667000000005</v>
      </c>
      <c r="C11" s="84">
        <v>14667.919000000002</v>
      </c>
      <c r="D11" s="97">
        <v>5852.1290000000017</v>
      </c>
      <c r="E11" s="97">
        <v>2969.7580000000003</v>
      </c>
      <c r="F11" s="97">
        <v>1095.0669999999996</v>
      </c>
      <c r="G11" s="97">
        <v>15408.755999999998</v>
      </c>
      <c r="H11" s="97">
        <v>1143.855</v>
      </c>
      <c r="I11" s="97">
        <v>42342.696000000004</v>
      </c>
      <c r="J11" s="97">
        <v>17844.861000000001</v>
      </c>
      <c r="K11" s="84">
        <v>2188.6589999999997</v>
      </c>
      <c r="L11" s="97">
        <v>84.132000000000005</v>
      </c>
      <c r="M11" s="97">
        <v>23.629000000000001</v>
      </c>
      <c r="N11" s="84">
        <v>14051.382</v>
      </c>
      <c r="O11" s="91">
        <v>3555.902</v>
      </c>
      <c r="P11" s="91">
        <v>209.41800000000001</v>
      </c>
      <c r="Q11" s="97">
        <v>76.781999999999996</v>
      </c>
      <c r="R11" s="97">
        <v>32283.052</v>
      </c>
    </row>
    <row r="12" spans="1:55" ht="15" customHeight="1" x14ac:dyDescent="0.2">
      <c r="A12" s="35" t="s">
        <v>338</v>
      </c>
      <c r="B12" s="95">
        <v>19808.543000000001</v>
      </c>
      <c r="C12" s="101">
        <v>26388.406999999999</v>
      </c>
      <c r="D12" s="95">
        <v>1070.404</v>
      </c>
      <c r="E12" s="95">
        <v>2971.2489999999998</v>
      </c>
      <c r="F12" s="95">
        <v>1192.9030000000018</v>
      </c>
      <c r="G12" s="95">
        <v>17294.425999999999</v>
      </c>
      <c r="H12" s="95">
        <v>1166.396</v>
      </c>
      <c r="I12" s="95">
        <v>42327.127999999997</v>
      </c>
      <c r="J12" s="95">
        <v>18696.229000000003</v>
      </c>
      <c r="K12" s="95">
        <v>173.46899999999999</v>
      </c>
      <c r="L12" s="95">
        <v>99.037999999999982</v>
      </c>
      <c r="M12" s="95">
        <v>21.275999999999996</v>
      </c>
      <c r="N12" s="95">
        <v>8851.8760000000002</v>
      </c>
      <c r="O12" s="95">
        <v>2313.1420000000003</v>
      </c>
      <c r="P12" s="95">
        <v>272.26400000000001</v>
      </c>
      <c r="Q12" s="95">
        <v>109.79400000000001</v>
      </c>
      <c r="R12" s="95">
        <v>36424.890000000007</v>
      </c>
    </row>
    <row r="13" spans="1:55" ht="15" customHeight="1" x14ac:dyDescent="0.2">
      <c r="A13" s="34" t="s">
        <v>359</v>
      </c>
      <c r="B13" s="97">
        <v>19964.682000000001</v>
      </c>
      <c r="C13" s="97">
        <v>13403.558999999999</v>
      </c>
      <c r="D13" s="97">
        <v>2798.491</v>
      </c>
      <c r="E13" s="97">
        <v>3042.1359999999995</v>
      </c>
      <c r="F13" s="97">
        <v>1385.1029999999994</v>
      </c>
      <c r="G13" s="97">
        <v>18016.892</v>
      </c>
      <c r="H13" s="97">
        <v>832.47</v>
      </c>
      <c r="I13" s="97">
        <v>44196.565000000002</v>
      </c>
      <c r="J13" s="97">
        <v>25793.59</v>
      </c>
      <c r="K13" s="97">
        <v>4248.8550000000005</v>
      </c>
      <c r="L13" s="97">
        <v>76.025000000000006</v>
      </c>
      <c r="M13" s="97">
        <v>139.17099999999999</v>
      </c>
      <c r="N13" s="97">
        <v>16832.678</v>
      </c>
      <c r="O13" s="97">
        <v>3432.8560000000002</v>
      </c>
      <c r="P13" s="97">
        <v>271.13900000000001</v>
      </c>
      <c r="Q13" s="97">
        <v>90.692000000000007</v>
      </c>
      <c r="R13" s="97">
        <v>39387.592000000004</v>
      </c>
    </row>
    <row r="14" spans="1:55" ht="15" customHeight="1" x14ac:dyDescent="0.2">
      <c r="A14" s="96"/>
      <c r="B14" s="132"/>
      <c r="C14" s="132"/>
      <c r="D14" s="96"/>
      <c r="E14" s="132"/>
      <c r="F14" s="132"/>
      <c r="G14" s="132"/>
      <c r="H14" s="132"/>
      <c r="I14" s="132"/>
      <c r="J14" s="132"/>
      <c r="K14" s="132"/>
      <c r="L14" s="132"/>
      <c r="M14" s="132"/>
      <c r="N14" s="132"/>
      <c r="O14" s="132"/>
      <c r="P14" s="132"/>
      <c r="Q14" s="132"/>
      <c r="R14" s="132"/>
    </row>
    <row r="15" spans="1:55" ht="15" customHeight="1" x14ac:dyDescent="0.2">
      <c r="A15" s="9" t="s">
        <v>13</v>
      </c>
      <c r="B15" s="95">
        <v>3341.0579999999995</v>
      </c>
      <c r="C15" s="101">
        <v>968.58500000000004</v>
      </c>
      <c r="D15" s="95">
        <v>732.30799999999999</v>
      </c>
      <c r="E15" s="95">
        <v>275.81700000000001</v>
      </c>
      <c r="F15" s="95">
        <v>366.06100000000009</v>
      </c>
      <c r="G15" s="95">
        <v>4496.6689999999999</v>
      </c>
      <c r="H15" s="95">
        <v>159.46299999999999</v>
      </c>
      <c r="I15" s="95">
        <v>9235.2139999999999</v>
      </c>
      <c r="J15" s="95">
        <v>3132.9160000000002</v>
      </c>
      <c r="K15" s="95">
        <v>0.71499999999999997</v>
      </c>
      <c r="L15" s="95">
        <v>128.12699999999998</v>
      </c>
      <c r="M15" s="95">
        <v>3.9849999999999994</v>
      </c>
      <c r="N15" s="95">
        <v>4366.1099999999997</v>
      </c>
      <c r="O15" s="95">
        <v>1514.6820000000002</v>
      </c>
      <c r="P15" s="95">
        <v>25.563000000000002</v>
      </c>
      <c r="Q15" s="95">
        <v>8.2899999999999991</v>
      </c>
      <c r="R15" s="95">
        <v>8294.4119999999984</v>
      </c>
      <c r="AL15" s="92"/>
      <c r="AM15" s="92"/>
      <c r="AN15" s="92"/>
      <c r="AO15" s="92"/>
      <c r="AP15" s="92"/>
      <c r="AQ15" s="92"/>
      <c r="AR15" s="92"/>
      <c r="AS15" s="92"/>
      <c r="AT15" s="92"/>
      <c r="AU15" s="92"/>
      <c r="AV15" s="92"/>
      <c r="AW15" s="92"/>
      <c r="AX15" s="92"/>
      <c r="AY15" s="92"/>
      <c r="AZ15" s="92"/>
      <c r="BA15" s="92"/>
      <c r="BB15" s="92"/>
      <c r="BC15" s="92"/>
    </row>
    <row r="16" spans="1:55" ht="15" customHeight="1" x14ac:dyDescent="0.2">
      <c r="A16" s="9" t="s">
        <v>14</v>
      </c>
      <c r="B16" s="95">
        <v>3317.7049999999999</v>
      </c>
      <c r="C16" s="101">
        <v>2340.433</v>
      </c>
      <c r="D16" s="95">
        <v>589.26400000000001</v>
      </c>
      <c r="E16" s="95">
        <v>594.86300000000006</v>
      </c>
      <c r="F16" s="95">
        <v>302.1759999999997</v>
      </c>
      <c r="G16" s="95">
        <v>5556.3330000000005</v>
      </c>
      <c r="H16" s="95">
        <v>152.81200000000001</v>
      </c>
      <c r="I16" s="95">
        <v>10414.976000000001</v>
      </c>
      <c r="J16" s="95">
        <v>2362.4009999999998</v>
      </c>
      <c r="K16" s="95">
        <v>3.8000000000000006E-2</v>
      </c>
      <c r="L16" s="95">
        <v>33.760000000000005</v>
      </c>
      <c r="M16" s="95">
        <v>4.0179999999999998</v>
      </c>
      <c r="N16" s="95">
        <v>3629.9960000000001</v>
      </c>
      <c r="O16" s="95">
        <v>518.05300000000011</v>
      </c>
      <c r="P16" s="95">
        <v>33.972999999999999</v>
      </c>
      <c r="Q16" s="95">
        <v>2.9610000000000003</v>
      </c>
      <c r="R16" s="95">
        <v>6279.3669999999984</v>
      </c>
      <c r="AL16" s="92"/>
      <c r="AM16" s="92"/>
      <c r="AN16" s="92"/>
      <c r="AO16" s="92"/>
      <c r="AP16" s="92"/>
      <c r="AQ16" s="92"/>
      <c r="AR16" s="92"/>
      <c r="AS16" s="92"/>
      <c r="AT16" s="92"/>
      <c r="AU16" s="92"/>
      <c r="AV16" s="92"/>
      <c r="AW16" s="92"/>
      <c r="AX16" s="92"/>
      <c r="AY16" s="92"/>
      <c r="AZ16" s="92"/>
      <c r="BA16" s="92"/>
      <c r="BB16" s="92"/>
    </row>
    <row r="17" spans="1:54" ht="15" customHeight="1" x14ac:dyDescent="0.2">
      <c r="A17" s="9" t="s">
        <v>15</v>
      </c>
      <c r="B17" s="90">
        <v>6998.4760000000006</v>
      </c>
      <c r="C17" s="90">
        <v>3192.866</v>
      </c>
      <c r="D17" s="95">
        <v>711.21</v>
      </c>
      <c r="E17" s="95">
        <v>955.26</v>
      </c>
      <c r="F17" s="95">
        <v>388.03900000000044</v>
      </c>
      <c r="G17" s="95">
        <v>16283.348000000002</v>
      </c>
      <c r="H17" s="95">
        <v>289.60300000000001</v>
      </c>
      <c r="I17" s="95">
        <v>9562.8080000000009</v>
      </c>
      <c r="J17" s="95">
        <v>2600.8040000000001</v>
      </c>
      <c r="K17" s="95">
        <v>1.0210000000000001</v>
      </c>
      <c r="L17" s="101">
        <v>59.344000000000001</v>
      </c>
      <c r="M17" s="95">
        <v>13.291</v>
      </c>
      <c r="N17" s="101">
        <v>4348.99</v>
      </c>
      <c r="O17" s="90">
        <v>1011.481</v>
      </c>
      <c r="P17" s="90">
        <v>62.760000000000005</v>
      </c>
      <c r="Q17" s="95">
        <v>13.100999999999999</v>
      </c>
      <c r="R17" s="95">
        <v>6877.9329999999991</v>
      </c>
      <c r="AL17" s="92"/>
      <c r="AM17" s="92"/>
      <c r="AN17" s="92"/>
      <c r="AO17" s="92"/>
      <c r="AP17" s="92"/>
      <c r="AQ17" s="92"/>
      <c r="AR17" s="92"/>
      <c r="AS17" s="92"/>
      <c r="AT17" s="92"/>
      <c r="AU17" s="92"/>
      <c r="AV17" s="92"/>
      <c r="AW17" s="92"/>
      <c r="AX17" s="92"/>
      <c r="AY17" s="92"/>
      <c r="AZ17" s="92"/>
      <c r="BA17" s="92"/>
      <c r="BB17" s="92"/>
    </row>
    <row r="18" spans="1:54" ht="15" customHeight="1" x14ac:dyDescent="0.2">
      <c r="A18" s="9" t="s">
        <v>16</v>
      </c>
      <c r="B18" s="90">
        <v>5432.2790000000005</v>
      </c>
      <c r="C18" s="90">
        <v>3040.2570000000001</v>
      </c>
      <c r="D18" s="95">
        <v>564.43799999999999</v>
      </c>
      <c r="E18" s="95">
        <v>625.226</v>
      </c>
      <c r="F18" s="95">
        <v>390.29199999999975</v>
      </c>
      <c r="G18" s="95">
        <v>6870.0020000000004</v>
      </c>
      <c r="H18" s="95">
        <v>241.19399999999999</v>
      </c>
      <c r="I18" s="95">
        <v>9512.0349999999999</v>
      </c>
      <c r="J18" s="95">
        <v>3404.4290000000001</v>
      </c>
      <c r="K18" s="95">
        <v>0.52</v>
      </c>
      <c r="L18" s="101">
        <v>34.076000000000001</v>
      </c>
      <c r="M18" s="95">
        <v>5.3550000000000004</v>
      </c>
      <c r="N18" s="101">
        <v>238.88500000000002</v>
      </c>
      <c r="O18" s="90">
        <v>895.47500000000002</v>
      </c>
      <c r="P18" s="90">
        <v>60.731999999999999</v>
      </c>
      <c r="Q18" s="90">
        <v>15.349</v>
      </c>
      <c r="R18" s="95">
        <v>7566.9560000000001</v>
      </c>
      <c r="AL18" s="92"/>
      <c r="AM18" s="92"/>
      <c r="AN18" s="92"/>
      <c r="AO18" s="92"/>
      <c r="AP18" s="92"/>
      <c r="AQ18" s="92"/>
      <c r="AR18" s="92"/>
      <c r="AS18" s="92"/>
      <c r="AT18" s="92"/>
      <c r="AU18" s="92"/>
      <c r="AV18" s="92"/>
      <c r="AW18" s="92"/>
      <c r="AX18" s="92"/>
      <c r="AY18" s="92"/>
      <c r="AZ18" s="92"/>
      <c r="BA18" s="92"/>
      <c r="BB18" s="92"/>
    </row>
    <row r="19" spans="1:54" ht="15" customHeight="1" x14ac:dyDescent="0.2">
      <c r="A19" s="8" t="s">
        <v>17</v>
      </c>
      <c r="B19" s="91">
        <v>4746.3680000000004</v>
      </c>
      <c r="C19" s="91">
        <v>4855.9159999999993</v>
      </c>
      <c r="D19" s="97">
        <v>3119.1010000000001</v>
      </c>
      <c r="E19" s="84">
        <v>384.54300000000001</v>
      </c>
      <c r="F19" s="97">
        <v>476.75399999999945</v>
      </c>
      <c r="G19" s="97">
        <v>5442.7709999999997</v>
      </c>
      <c r="H19" s="97">
        <v>219.91300000000001</v>
      </c>
      <c r="I19" s="97">
        <v>9399.7560000000012</v>
      </c>
      <c r="J19" s="97">
        <v>2558.6400000000003</v>
      </c>
      <c r="K19" s="84">
        <v>2.4020000000000001</v>
      </c>
      <c r="L19" s="91">
        <v>43.334000000000003</v>
      </c>
      <c r="M19" s="91">
        <v>6.2070000000000007</v>
      </c>
      <c r="N19" s="91">
        <v>1940.88</v>
      </c>
      <c r="O19" s="91">
        <v>1152.5410000000002</v>
      </c>
      <c r="P19" s="91">
        <v>53.843000000000004</v>
      </c>
      <c r="Q19" s="91">
        <v>14.417999999999999</v>
      </c>
      <c r="R19" s="97">
        <v>9188.9819999999982</v>
      </c>
      <c r="AL19" s="92"/>
      <c r="AM19" s="92"/>
      <c r="AN19" s="92"/>
      <c r="AO19" s="92"/>
      <c r="AP19" s="92"/>
      <c r="AQ19" s="92"/>
      <c r="AR19" s="92"/>
      <c r="AS19" s="92"/>
      <c r="AT19" s="92"/>
      <c r="AU19" s="92"/>
      <c r="AV19" s="92"/>
      <c r="AW19" s="92"/>
      <c r="AX19" s="92"/>
      <c r="AY19" s="92"/>
      <c r="AZ19" s="92"/>
      <c r="BA19" s="92"/>
      <c r="BB19" s="92"/>
    </row>
    <row r="20" spans="1:54" ht="15" customHeight="1" x14ac:dyDescent="0.2">
      <c r="A20" s="8" t="s">
        <v>18</v>
      </c>
      <c r="B20" s="91">
        <v>3241.1750000000002</v>
      </c>
      <c r="C20" s="91">
        <v>3325.018</v>
      </c>
      <c r="D20" s="91">
        <v>1738.107</v>
      </c>
      <c r="E20" s="91">
        <v>621.30600000000004</v>
      </c>
      <c r="F20" s="97">
        <v>332.93500000000057</v>
      </c>
      <c r="G20" s="84">
        <v>5376.3040000000001</v>
      </c>
      <c r="H20" s="97">
        <v>178.06</v>
      </c>
      <c r="I20" s="84">
        <v>10886.489</v>
      </c>
      <c r="J20" s="97">
        <v>1883.7449999999999</v>
      </c>
      <c r="K20" s="84">
        <v>0.28400000000000003</v>
      </c>
      <c r="L20" s="91">
        <v>11.617000000000001</v>
      </c>
      <c r="M20" s="91">
        <v>4.6989999999999998</v>
      </c>
      <c r="N20" s="91">
        <v>2301.1030000000001</v>
      </c>
      <c r="O20" s="91">
        <v>445.43700000000001</v>
      </c>
      <c r="P20" s="91">
        <v>43.064</v>
      </c>
      <c r="Q20" s="91">
        <v>9.2929999999999993</v>
      </c>
      <c r="R20" s="97">
        <v>7472.7640000000001</v>
      </c>
      <c r="AL20" s="92"/>
      <c r="AM20" s="92"/>
      <c r="AN20" s="92"/>
      <c r="AO20" s="92"/>
      <c r="AP20" s="92"/>
      <c r="AQ20" s="92"/>
      <c r="AR20" s="92"/>
      <c r="AS20" s="92"/>
      <c r="AT20" s="92"/>
      <c r="AU20" s="92"/>
      <c r="AV20" s="92"/>
      <c r="AW20" s="92"/>
      <c r="AX20" s="92"/>
      <c r="AY20" s="92"/>
      <c r="AZ20" s="92"/>
      <c r="BA20" s="92"/>
      <c r="BB20" s="92"/>
    </row>
    <row r="21" spans="1:54" ht="15" customHeight="1" x14ac:dyDescent="0.2">
      <c r="A21" s="8" t="s">
        <v>19</v>
      </c>
      <c r="B21" s="91">
        <v>5679.1260000000002</v>
      </c>
      <c r="C21" s="91">
        <v>4112.8580000000002</v>
      </c>
      <c r="D21" s="91">
        <v>1003.688</v>
      </c>
      <c r="E21" s="91">
        <v>1031.087</v>
      </c>
      <c r="F21" s="91">
        <v>343.7420000000003</v>
      </c>
      <c r="G21" s="91">
        <v>6435.11</v>
      </c>
      <c r="H21" s="97">
        <v>155.97</v>
      </c>
      <c r="I21" s="84">
        <v>11312.047</v>
      </c>
      <c r="J21" s="91">
        <v>4748.59</v>
      </c>
      <c r="K21" s="91">
        <v>1515.3520000000001</v>
      </c>
      <c r="L21" s="91">
        <v>44.802999999999997</v>
      </c>
      <c r="M21" s="91">
        <v>9.6940000000000008</v>
      </c>
      <c r="N21" s="91">
        <v>3717.105</v>
      </c>
      <c r="O21" s="91">
        <v>868.49</v>
      </c>
      <c r="P21" s="91">
        <v>70.212999999999994</v>
      </c>
      <c r="Q21" s="91">
        <v>6.3989999999999991</v>
      </c>
      <c r="R21" s="97">
        <v>7251.4169999999976</v>
      </c>
      <c r="AL21" s="92"/>
      <c r="AM21" s="92"/>
      <c r="AN21" s="92"/>
      <c r="AO21" s="92"/>
      <c r="AP21" s="92"/>
      <c r="AQ21" s="92"/>
      <c r="AR21" s="92"/>
      <c r="AS21" s="92"/>
      <c r="AT21" s="92"/>
      <c r="AU21" s="92"/>
      <c r="AV21" s="92"/>
      <c r="AW21" s="92"/>
      <c r="AX21" s="92"/>
      <c r="AY21" s="92"/>
      <c r="AZ21" s="92"/>
      <c r="BA21" s="92"/>
      <c r="BB21" s="92"/>
    </row>
    <row r="22" spans="1:54" ht="15" customHeight="1" x14ac:dyDescent="0.2">
      <c r="A22" s="8" t="s">
        <v>20</v>
      </c>
      <c r="B22" s="91">
        <v>5528.1529999999993</v>
      </c>
      <c r="C22" s="91">
        <v>6281.3549999999996</v>
      </c>
      <c r="D22" s="91">
        <v>625.61099999999999</v>
      </c>
      <c r="E22" s="91">
        <v>613.98699999999997</v>
      </c>
      <c r="F22" s="91">
        <v>350.53400000000147</v>
      </c>
      <c r="G22" s="91">
        <v>4285.9949999999999</v>
      </c>
      <c r="H22" s="91">
        <v>270.59500000000003</v>
      </c>
      <c r="I22" s="91">
        <v>11827.266</v>
      </c>
      <c r="J22" s="91">
        <v>6431.8450000000003</v>
      </c>
      <c r="K22" s="91">
        <v>1218.4110000000001</v>
      </c>
      <c r="L22" s="91">
        <v>59.665000000000006</v>
      </c>
      <c r="M22" s="91">
        <v>9.8780000000000001</v>
      </c>
      <c r="N22" s="91">
        <v>2529.1680000000001</v>
      </c>
      <c r="O22" s="91">
        <v>1367.2070000000001</v>
      </c>
      <c r="P22" s="91">
        <v>72.248000000000005</v>
      </c>
      <c r="Q22" s="91">
        <v>1.2190000000000001</v>
      </c>
      <c r="R22" s="97">
        <v>7302.8659999999991</v>
      </c>
      <c r="AL22" s="92"/>
      <c r="AM22" s="92"/>
      <c r="AN22" s="92"/>
      <c r="AO22" s="92"/>
      <c r="AP22" s="92"/>
      <c r="AQ22" s="92"/>
      <c r="AR22" s="92"/>
      <c r="AS22" s="92"/>
      <c r="AT22" s="92"/>
      <c r="AU22" s="92"/>
      <c r="AV22" s="92"/>
      <c r="AW22" s="92"/>
      <c r="AX22" s="92"/>
      <c r="AY22" s="92"/>
      <c r="AZ22" s="92"/>
      <c r="BA22" s="92"/>
      <c r="BB22" s="92"/>
    </row>
    <row r="23" spans="1:54" ht="15" customHeight="1" x14ac:dyDescent="0.2">
      <c r="A23" s="9" t="s">
        <v>21</v>
      </c>
      <c r="B23" s="90">
        <v>3558.915</v>
      </c>
      <c r="C23" s="90">
        <v>4072.1280000000002</v>
      </c>
      <c r="D23" s="90">
        <v>546.63400000000001</v>
      </c>
      <c r="E23" s="90">
        <v>413.91899999999998</v>
      </c>
      <c r="F23" s="90">
        <v>314.09199999999976</v>
      </c>
      <c r="G23" s="90">
        <v>3851.3199999999997</v>
      </c>
      <c r="H23" s="90">
        <v>264.25700000000001</v>
      </c>
      <c r="I23" s="90">
        <v>9404.905999999999</v>
      </c>
      <c r="J23" s="90">
        <v>4303.0140000000001</v>
      </c>
      <c r="K23" s="90">
        <v>1373.1599999999999</v>
      </c>
      <c r="L23" s="90">
        <v>17.164999999999999</v>
      </c>
      <c r="M23" s="90">
        <v>8.68</v>
      </c>
      <c r="N23" s="90">
        <v>2378.0780000000004</v>
      </c>
      <c r="O23" s="90">
        <v>856.72499999999991</v>
      </c>
      <c r="P23" s="90">
        <v>55.55</v>
      </c>
      <c r="Q23" s="90">
        <v>14.263</v>
      </c>
      <c r="R23" s="95">
        <v>9243.1910000000007</v>
      </c>
      <c r="AL23" s="92"/>
      <c r="AM23" s="92"/>
      <c r="AN23" s="92"/>
      <c r="AO23" s="92"/>
      <c r="AP23" s="92"/>
      <c r="AQ23" s="92"/>
      <c r="AR23" s="92"/>
      <c r="AS23" s="92"/>
      <c r="AT23" s="92"/>
      <c r="AU23" s="92"/>
      <c r="AV23" s="92"/>
      <c r="AW23" s="92"/>
      <c r="AX23" s="92"/>
      <c r="AY23" s="92"/>
      <c r="AZ23" s="92"/>
      <c r="BA23" s="92"/>
      <c r="BB23" s="92"/>
    </row>
    <row r="24" spans="1:54" ht="15" customHeight="1" x14ac:dyDescent="0.2">
      <c r="A24" s="9" t="s">
        <v>22</v>
      </c>
      <c r="B24" s="90">
        <v>3623.8429999999998</v>
      </c>
      <c r="C24" s="90">
        <v>2267.8709999999996</v>
      </c>
      <c r="D24" s="90">
        <v>500.536</v>
      </c>
      <c r="E24" s="90">
        <v>512.53899999999999</v>
      </c>
      <c r="F24" s="90">
        <v>373.2349999999999</v>
      </c>
      <c r="G24" s="90">
        <v>4221.4209999999994</v>
      </c>
      <c r="H24" s="90">
        <v>187.19800000000001</v>
      </c>
      <c r="I24" s="90">
        <v>11820.489</v>
      </c>
      <c r="J24" s="90">
        <v>6340.5059999999994</v>
      </c>
      <c r="K24" s="90">
        <v>2963.1549999999997</v>
      </c>
      <c r="L24" s="90">
        <v>23.459</v>
      </c>
      <c r="M24" s="90">
        <v>5.5779999999999994</v>
      </c>
      <c r="N24" s="90">
        <v>5919.6010000000006</v>
      </c>
      <c r="O24" s="90">
        <v>1015.539</v>
      </c>
      <c r="P24" s="90">
        <v>51.466000000000001</v>
      </c>
      <c r="Q24" s="90">
        <v>20.809000000000001</v>
      </c>
      <c r="R24" s="95">
        <v>7116.9170000000013</v>
      </c>
      <c r="AL24" s="92"/>
      <c r="AM24" s="92"/>
      <c r="AN24" s="92"/>
      <c r="AO24" s="92"/>
      <c r="AP24" s="92"/>
      <c r="AQ24" s="92"/>
      <c r="AR24" s="92"/>
      <c r="AS24" s="92"/>
      <c r="AT24" s="92"/>
      <c r="AU24" s="92"/>
      <c r="AV24" s="92"/>
      <c r="AW24" s="92"/>
      <c r="AX24" s="92"/>
      <c r="AY24" s="92"/>
      <c r="AZ24" s="92"/>
      <c r="BA24" s="92"/>
      <c r="BB24" s="92"/>
    </row>
    <row r="25" spans="1:54" ht="15" customHeight="1" x14ac:dyDescent="0.2">
      <c r="A25" s="9" t="s">
        <v>23</v>
      </c>
      <c r="B25" s="90">
        <v>6167.378999999999</v>
      </c>
      <c r="C25" s="90">
        <v>3001.9160000000002</v>
      </c>
      <c r="D25" s="90">
        <v>387.80099999999999</v>
      </c>
      <c r="E25" s="90">
        <v>909.03599999999994</v>
      </c>
      <c r="F25" s="90">
        <v>250.11700000000008</v>
      </c>
      <c r="G25" s="90">
        <v>3940.6499999999996</v>
      </c>
      <c r="H25" s="90">
        <v>217.24700000000001</v>
      </c>
      <c r="I25" s="90">
        <v>10671.701000000001</v>
      </c>
      <c r="J25" s="90">
        <v>2443.6480000000001</v>
      </c>
      <c r="K25" s="90">
        <v>2999.7080000000001</v>
      </c>
      <c r="L25" s="90">
        <v>14.577000000000002</v>
      </c>
      <c r="M25" s="90">
        <v>6.5060000000000002</v>
      </c>
      <c r="N25" s="90">
        <v>6183.4500000000007</v>
      </c>
      <c r="O25" s="90">
        <v>902.49800000000005</v>
      </c>
      <c r="P25" s="90">
        <v>69.911000000000001</v>
      </c>
      <c r="Q25" s="90">
        <v>23.870999999999999</v>
      </c>
      <c r="R25" s="95">
        <v>5590.021999999999</v>
      </c>
      <c r="AL25" s="92"/>
      <c r="AM25" s="92"/>
      <c r="AN25" s="92"/>
      <c r="AO25" s="92"/>
      <c r="AP25" s="92"/>
      <c r="AQ25" s="92"/>
      <c r="AR25" s="92"/>
      <c r="AS25" s="92"/>
      <c r="AT25" s="92"/>
      <c r="AU25" s="92"/>
      <c r="AV25" s="92"/>
      <c r="AW25" s="92"/>
      <c r="AX25" s="92"/>
      <c r="AY25" s="92"/>
      <c r="AZ25" s="92"/>
      <c r="BA25" s="92"/>
      <c r="BB25" s="92"/>
    </row>
    <row r="26" spans="1:54" ht="15" customHeight="1" x14ac:dyDescent="0.2">
      <c r="A26" s="9" t="s">
        <v>24</v>
      </c>
      <c r="B26" s="90">
        <v>5168.4210000000003</v>
      </c>
      <c r="C26" s="90">
        <v>2462.9250000000002</v>
      </c>
      <c r="D26" s="90">
        <v>902.88300000000004</v>
      </c>
      <c r="E26" s="90">
        <v>768.94799999999998</v>
      </c>
      <c r="F26" s="90">
        <v>253.72599999999966</v>
      </c>
      <c r="G26" s="90">
        <v>3822.0819999999994</v>
      </c>
      <c r="H26" s="90">
        <v>170.57900000000001</v>
      </c>
      <c r="I26" s="90">
        <v>9629.384</v>
      </c>
      <c r="J26" s="90">
        <v>8145.759</v>
      </c>
      <c r="K26" s="90">
        <v>152.251</v>
      </c>
      <c r="L26" s="90">
        <v>11.872</v>
      </c>
      <c r="M26" s="90">
        <v>5.8179999999999996</v>
      </c>
      <c r="N26" s="90">
        <v>2496.5819999999999</v>
      </c>
      <c r="O26" s="90">
        <v>1133.3109999999999</v>
      </c>
      <c r="P26" s="90">
        <v>49.192999999999998</v>
      </c>
      <c r="Q26" s="90">
        <v>8.9789999999999992</v>
      </c>
      <c r="R26" s="95">
        <v>5679.4409999999989</v>
      </c>
      <c r="AL26" s="92"/>
      <c r="AM26" s="92"/>
      <c r="AN26" s="92"/>
      <c r="AO26" s="92"/>
      <c r="AP26" s="92"/>
      <c r="AQ26" s="92"/>
      <c r="AR26" s="92"/>
      <c r="AS26" s="92"/>
      <c r="AT26" s="92"/>
      <c r="AU26" s="92"/>
      <c r="AV26" s="92"/>
      <c r="AW26" s="92"/>
      <c r="AX26" s="92"/>
      <c r="AY26" s="92"/>
      <c r="AZ26" s="92"/>
      <c r="BA26" s="92"/>
      <c r="BB26" s="92"/>
    </row>
    <row r="27" spans="1:54" ht="15" customHeight="1" x14ac:dyDescent="0.2">
      <c r="A27" s="8" t="s">
        <v>25</v>
      </c>
      <c r="B27" s="91">
        <v>4373.1689999999999</v>
      </c>
      <c r="C27" s="91">
        <v>2509.2980000000002</v>
      </c>
      <c r="D27" s="91">
        <v>3501.7470000000003</v>
      </c>
      <c r="E27" s="91">
        <v>577.51</v>
      </c>
      <c r="F27" s="91">
        <v>282.67000000000041</v>
      </c>
      <c r="G27" s="91">
        <v>3603.7</v>
      </c>
      <c r="H27" s="91">
        <v>179.13400000000001</v>
      </c>
      <c r="I27" s="91">
        <v>8281.5879999999997</v>
      </c>
      <c r="J27" s="91">
        <v>2094.643</v>
      </c>
      <c r="K27" s="91">
        <v>95.701000000000008</v>
      </c>
      <c r="L27" s="91">
        <v>12.944000000000001</v>
      </c>
      <c r="M27" s="91">
        <v>5.399</v>
      </c>
      <c r="N27" s="91">
        <v>4.3100000000000005</v>
      </c>
      <c r="O27" s="91">
        <v>1029.92</v>
      </c>
      <c r="P27" s="91">
        <v>44.293999999999997</v>
      </c>
      <c r="Q27" s="91">
        <v>10.411999999999999</v>
      </c>
      <c r="R27" s="97">
        <v>8168.4250000000002</v>
      </c>
      <c r="AL27" s="92"/>
      <c r="AM27" s="92"/>
      <c r="AN27" s="92"/>
      <c r="AO27" s="92"/>
      <c r="AP27" s="92"/>
      <c r="AQ27" s="92"/>
      <c r="AR27" s="92"/>
      <c r="AS27" s="92"/>
      <c r="AT27" s="92"/>
      <c r="AU27" s="92"/>
      <c r="AV27" s="92"/>
      <c r="AW27" s="92"/>
      <c r="AX27" s="92"/>
      <c r="AY27" s="92"/>
      <c r="AZ27" s="92"/>
      <c r="BA27" s="92"/>
      <c r="BB27" s="92"/>
    </row>
    <row r="28" spans="1:54" ht="15" customHeight="1" x14ac:dyDescent="0.2">
      <c r="A28" s="8" t="s">
        <v>26</v>
      </c>
      <c r="B28" s="91">
        <v>4092.172</v>
      </c>
      <c r="C28" s="91">
        <v>1908.0900000000001</v>
      </c>
      <c r="D28" s="91">
        <v>1061.7630000000001</v>
      </c>
      <c r="E28" s="91">
        <v>989.63200000000006</v>
      </c>
      <c r="F28" s="91">
        <v>218.69900000000015</v>
      </c>
      <c r="G28" s="91">
        <v>3594.6790000000001</v>
      </c>
      <c r="H28" s="91">
        <v>236.94399999999999</v>
      </c>
      <c r="I28" s="91">
        <v>10974.811</v>
      </c>
      <c r="J28" s="91">
        <v>3263.1319999999996</v>
      </c>
      <c r="K28" s="91">
        <v>152.26</v>
      </c>
      <c r="L28" s="91">
        <v>23.593</v>
      </c>
      <c r="M28" s="91">
        <v>5.1630000000000003</v>
      </c>
      <c r="N28" s="91">
        <v>5358.1149999999998</v>
      </c>
      <c r="O28" s="91">
        <v>911.42500000000007</v>
      </c>
      <c r="P28" s="91">
        <v>80.067000000000007</v>
      </c>
      <c r="Q28" s="91">
        <v>10.192</v>
      </c>
      <c r="R28" s="97">
        <v>9894.4740000000002</v>
      </c>
      <c r="AL28" s="92"/>
      <c r="AM28" s="92"/>
      <c r="AN28" s="92"/>
      <c r="AO28" s="92"/>
      <c r="AP28" s="92"/>
      <c r="AQ28" s="92"/>
      <c r="AR28" s="92"/>
      <c r="AS28" s="92"/>
      <c r="AT28" s="92"/>
      <c r="AU28" s="92"/>
      <c r="AV28" s="92"/>
      <c r="AW28" s="92"/>
      <c r="AX28" s="92"/>
      <c r="AY28" s="92"/>
      <c r="AZ28" s="92"/>
      <c r="BA28" s="92"/>
      <c r="BB28" s="92"/>
    </row>
    <row r="29" spans="1:54" ht="15" customHeight="1" x14ac:dyDescent="0.2">
      <c r="A29" s="8" t="s">
        <v>27</v>
      </c>
      <c r="B29" s="91">
        <v>5068.7199999999993</v>
      </c>
      <c r="C29" s="91">
        <v>7810.6229999999996</v>
      </c>
      <c r="D29" s="91">
        <v>800.09899999999993</v>
      </c>
      <c r="E29" s="91">
        <v>831.10400000000004</v>
      </c>
      <c r="F29" s="91">
        <v>278.45899999999892</v>
      </c>
      <c r="G29" s="91">
        <v>3713.4569999999999</v>
      </c>
      <c r="H29" s="91">
        <v>231.92900000000003</v>
      </c>
      <c r="I29" s="91">
        <v>10865.054</v>
      </c>
      <c r="J29" s="91">
        <v>9105.5589999999993</v>
      </c>
      <c r="K29" s="91">
        <v>1768.115</v>
      </c>
      <c r="L29" s="91">
        <v>18.721999999999998</v>
      </c>
      <c r="M29" s="91">
        <v>4.984</v>
      </c>
      <c r="N29" s="91">
        <v>6638.3870000000006</v>
      </c>
      <c r="O29" s="91">
        <v>768.40100000000007</v>
      </c>
      <c r="P29" s="91">
        <v>44.911999999999999</v>
      </c>
      <c r="Q29" s="91">
        <v>28.378</v>
      </c>
      <c r="R29" s="97">
        <v>8407.4939999999988</v>
      </c>
      <c r="AL29" s="92"/>
      <c r="AM29" s="92"/>
      <c r="AN29" s="92"/>
      <c r="AO29" s="92"/>
      <c r="AP29" s="92"/>
      <c r="AQ29" s="92"/>
      <c r="AR29" s="92"/>
      <c r="AS29" s="92"/>
      <c r="AT29" s="92"/>
      <c r="AU29" s="92"/>
      <c r="AV29" s="92"/>
      <c r="AW29" s="92"/>
      <c r="AX29" s="92"/>
      <c r="AY29" s="92"/>
      <c r="AZ29" s="92"/>
      <c r="BA29" s="92"/>
      <c r="BB29" s="92"/>
    </row>
    <row r="30" spans="1:54" ht="15" customHeight="1" x14ac:dyDescent="0.2">
      <c r="A30" s="8" t="s">
        <v>28</v>
      </c>
      <c r="B30" s="91">
        <v>6347.6060000000007</v>
      </c>
      <c r="C30" s="91">
        <v>2439.9079999999999</v>
      </c>
      <c r="D30" s="91">
        <v>488.52</v>
      </c>
      <c r="E30" s="91">
        <v>571.51200000000006</v>
      </c>
      <c r="F30" s="91">
        <v>315.23900000000003</v>
      </c>
      <c r="G30" s="91">
        <v>4496.92</v>
      </c>
      <c r="H30" s="91">
        <v>495.84799999999996</v>
      </c>
      <c r="I30" s="91">
        <v>12221.242999999999</v>
      </c>
      <c r="J30" s="91">
        <v>3381.527</v>
      </c>
      <c r="K30" s="91">
        <v>172.583</v>
      </c>
      <c r="L30" s="91">
        <v>28.873000000000001</v>
      </c>
      <c r="M30" s="91">
        <v>8.0830000000000002</v>
      </c>
      <c r="N30" s="91">
        <v>2050.5700000000002</v>
      </c>
      <c r="O30" s="91">
        <v>846.15600000000006</v>
      </c>
      <c r="P30" s="91">
        <v>40.145000000000003</v>
      </c>
      <c r="Q30" s="91">
        <v>27.799999999999997</v>
      </c>
      <c r="R30" s="97">
        <v>5812.6589999999997</v>
      </c>
      <c r="AL30" s="92"/>
      <c r="AM30" s="92"/>
      <c r="AN30" s="92"/>
      <c r="AO30" s="92"/>
      <c r="AP30" s="92"/>
      <c r="AQ30" s="92"/>
      <c r="AR30" s="92"/>
      <c r="AS30" s="92"/>
      <c r="AT30" s="92"/>
      <c r="AU30" s="92"/>
      <c r="AV30" s="92"/>
      <c r="AW30" s="92"/>
      <c r="AX30" s="92"/>
      <c r="AY30" s="92"/>
      <c r="AZ30" s="92"/>
      <c r="BA30" s="92"/>
      <c r="BB30" s="92"/>
    </row>
    <row r="31" spans="1:54" ht="15" customHeight="1" x14ac:dyDescent="0.2">
      <c r="A31" s="9" t="s">
        <v>369</v>
      </c>
      <c r="B31" s="90">
        <v>4521.5319999999992</v>
      </c>
      <c r="C31" s="90">
        <v>1726.3359999999998</v>
      </c>
      <c r="D31" s="90">
        <v>327.92700000000002</v>
      </c>
      <c r="E31" s="90">
        <v>319.66399999999999</v>
      </c>
      <c r="F31" s="90">
        <v>291.72100000000012</v>
      </c>
      <c r="G31" s="90">
        <v>3180.1660000000002</v>
      </c>
      <c r="H31" s="90">
        <v>325.89</v>
      </c>
      <c r="I31" s="90">
        <v>11480.965</v>
      </c>
      <c r="J31" s="90">
        <v>3165.4079999999999</v>
      </c>
      <c r="K31" s="90">
        <v>1.4609999999999999</v>
      </c>
      <c r="L31" s="90">
        <v>27.120999999999995</v>
      </c>
      <c r="M31" s="90">
        <v>4.798</v>
      </c>
      <c r="N31" s="90">
        <v>2545.732</v>
      </c>
      <c r="O31" s="90">
        <v>610.17100000000005</v>
      </c>
      <c r="P31" s="90">
        <v>75.668000000000006</v>
      </c>
      <c r="Q31" s="90">
        <v>10.282</v>
      </c>
      <c r="R31" s="95">
        <v>12350.623000000003</v>
      </c>
      <c r="AL31" s="92"/>
      <c r="AM31" s="92"/>
      <c r="AN31" s="92"/>
      <c r="AO31" s="92"/>
      <c r="AP31" s="92"/>
      <c r="AQ31" s="92"/>
      <c r="AR31" s="92"/>
      <c r="AS31" s="92"/>
      <c r="AT31" s="92"/>
      <c r="AU31" s="92"/>
      <c r="AV31" s="92"/>
      <c r="AW31" s="92"/>
      <c r="AX31" s="92"/>
      <c r="AY31" s="92"/>
      <c r="AZ31" s="92"/>
      <c r="BA31" s="92"/>
      <c r="BB31" s="92"/>
    </row>
    <row r="32" spans="1:54" ht="15" customHeight="1" x14ac:dyDescent="0.2">
      <c r="A32" s="9" t="s">
        <v>370</v>
      </c>
      <c r="B32" s="90">
        <v>3299.19</v>
      </c>
      <c r="C32" s="90">
        <v>6556.9970000000003</v>
      </c>
      <c r="D32" s="90">
        <v>251.74599999999998</v>
      </c>
      <c r="E32" s="90">
        <v>803.02700000000004</v>
      </c>
      <c r="F32" s="90">
        <v>304.26199999999983</v>
      </c>
      <c r="G32" s="90">
        <v>5094.9529999999995</v>
      </c>
      <c r="H32" s="90">
        <v>416.81600000000003</v>
      </c>
      <c r="I32" s="90">
        <v>10291.573999999999</v>
      </c>
      <c r="J32" s="90">
        <v>3254.2039999999997</v>
      </c>
      <c r="K32" s="90">
        <v>1.5390000000000001</v>
      </c>
      <c r="L32" s="90">
        <v>22.603000000000002</v>
      </c>
      <c r="M32" s="90">
        <v>5.77</v>
      </c>
      <c r="N32" s="90">
        <v>2672.8249999999998</v>
      </c>
      <c r="O32" s="90">
        <v>655.89400000000001</v>
      </c>
      <c r="P32" s="90">
        <v>68.010999999999996</v>
      </c>
      <c r="Q32" s="90">
        <v>29.744</v>
      </c>
      <c r="R32" s="95">
        <v>11050.61</v>
      </c>
      <c r="AL32" s="92"/>
      <c r="AM32" s="92"/>
      <c r="AN32" s="92"/>
      <c r="AO32" s="92"/>
      <c r="AP32" s="92"/>
      <c r="AQ32" s="92"/>
      <c r="AR32" s="92"/>
      <c r="AS32" s="92"/>
      <c r="AT32" s="92"/>
      <c r="AU32" s="92"/>
      <c r="AV32" s="92"/>
      <c r="AW32" s="92"/>
      <c r="AX32" s="92"/>
      <c r="AY32" s="92"/>
      <c r="AZ32" s="92"/>
      <c r="BA32" s="92"/>
      <c r="BB32" s="92"/>
    </row>
    <row r="33" spans="1:54" ht="15" customHeight="1" x14ac:dyDescent="0.2">
      <c r="A33" s="9" t="s">
        <v>371</v>
      </c>
      <c r="B33" s="90">
        <v>5635.5720000000001</v>
      </c>
      <c r="C33" s="90">
        <v>11898.954999999998</v>
      </c>
      <c r="D33" s="90">
        <v>256.04300000000001</v>
      </c>
      <c r="E33" s="90">
        <v>887.62899999999991</v>
      </c>
      <c r="F33" s="90">
        <v>275.16700000000219</v>
      </c>
      <c r="G33" s="90">
        <v>3594.0640000000003</v>
      </c>
      <c r="H33" s="90">
        <v>231.50299999999999</v>
      </c>
      <c r="I33" s="90">
        <v>9367.7020000000011</v>
      </c>
      <c r="J33" s="90">
        <v>6910.3849999999993</v>
      </c>
      <c r="K33" s="90">
        <v>58.685000000000002</v>
      </c>
      <c r="L33" s="90">
        <v>12.360000000000001</v>
      </c>
      <c r="M33" s="90">
        <v>6.0499999999999989</v>
      </c>
      <c r="N33" s="90">
        <v>1840.45</v>
      </c>
      <c r="O33" s="90">
        <v>457.80799999999999</v>
      </c>
      <c r="P33" s="90">
        <v>70.431000000000012</v>
      </c>
      <c r="Q33" s="90">
        <v>32.268000000000001</v>
      </c>
      <c r="R33" s="95">
        <v>6354.8960000000006</v>
      </c>
      <c r="AL33" s="92"/>
      <c r="AM33" s="92"/>
      <c r="AN33" s="92"/>
      <c r="AO33" s="92"/>
      <c r="AP33" s="92"/>
      <c r="AQ33" s="92"/>
      <c r="AR33" s="92"/>
      <c r="AS33" s="92"/>
      <c r="AT33" s="92"/>
      <c r="AU33" s="92"/>
      <c r="AV33" s="92"/>
      <c r="AW33" s="92"/>
      <c r="AX33" s="92"/>
      <c r="AY33" s="92"/>
      <c r="AZ33" s="92"/>
      <c r="BA33" s="92"/>
      <c r="BB33" s="92"/>
    </row>
    <row r="34" spans="1:54" ht="15" customHeight="1" x14ac:dyDescent="0.2">
      <c r="A34" s="9" t="s">
        <v>372</v>
      </c>
      <c r="B34" s="90">
        <v>6352.2489999999998</v>
      </c>
      <c r="C34" s="90">
        <v>6206.1190000000006</v>
      </c>
      <c r="D34" s="90">
        <v>234.68799999999999</v>
      </c>
      <c r="E34" s="90">
        <v>960.92900000000009</v>
      </c>
      <c r="F34" s="90">
        <v>321.7529999999997</v>
      </c>
      <c r="G34" s="90">
        <v>5425.2429999999995</v>
      </c>
      <c r="H34" s="90">
        <v>192.18700000000001</v>
      </c>
      <c r="I34" s="90">
        <v>11186.887000000001</v>
      </c>
      <c r="J34" s="90">
        <v>5366.232</v>
      </c>
      <c r="K34" s="90">
        <v>111.78399999999999</v>
      </c>
      <c r="L34" s="90">
        <v>36.954000000000001</v>
      </c>
      <c r="M34" s="90">
        <v>4.6580000000000004</v>
      </c>
      <c r="N34" s="90">
        <v>1792.8690000000001</v>
      </c>
      <c r="O34" s="90">
        <v>589.26900000000001</v>
      </c>
      <c r="P34" s="90">
        <v>58.153999999999996</v>
      </c>
      <c r="Q34" s="90">
        <v>37.5</v>
      </c>
      <c r="R34" s="95">
        <v>6668.7609999999986</v>
      </c>
      <c r="AL34" s="92"/>
      <c r="AM34" s="92"/>
      <c r="AN34" s="92"/>
      <c r="AO34" s="92"/>
      <c r="AP34" s="92"/>
      <c r="AQ34" s="92"/>
      <c r="AR34" s="92"/>
      <c r="AS34" s="92"/>
      <c r="AT34" s="92"/>
      <c r="AU34" s="92"/>
      <c r="AV34" s="92"/>
      <c r="AW34" s="92"/>
      <c r="AX34" s="92"/>
      <c r="AY34" s="92"/>
      <c r="AZ34" s="92"/>
      <c r="BA34" s="92"/>
      <c r="BB34" s="92"/>
    </row>
    <row r="35" spans="1:54" ht="15" customHeight="1" x14ac:dyDescent="0.2">
      <c r="A35" s="8" t="s">
        <v>294</v>
      </c>
      <c r="B35" s="91">
        <v>4146.0529999999999</v>
      </c>
      <c r="C35" s="91">
        <v>4825.0820000000003</v>
      </c>
      <c r="D35" s="91">
        <v>1523.0769999999998</v>
      </c>
      <c r="E35" s="91">
        <v>590.94899999999996</v>
      </c>
      <c r="F35" s="91">
        <v>304.15500000000009</v>
      </c>
      <c r="G35" s="91">
        <v>3013.6329999999998</v>
      </c>
      <c r="H35" s="91">
        <v>190.286</v>
      </c>
      <c r="I35" s="91">
        <v>8606.9539999999997</v>
      </c>
      <c r="J35" s="91">
        <v>6124.348</v>
      </c>
      <c r="K35" s="91">
        <v>1.4950000000000001</v>
      </c>
      <c r="L35" s="91">
        <v>3.31</v>
      </c>
      <c r="M35" s="91">
        <v>13.43</v>
      </c>
      <c r="N35" s="91">
        <v>1869.77</v>
      </c>
      <c r="O35" s="91">
        <v>175.80699999999999</v>
      </c>
      <c r="P35" s="91">
        <v>81.739000000000004</v>
      </c>
      <c r="Q35" s="91">
        <v>14.052</v>
      </c>
      <c r="R35" s="97">
        <v>10645.615000000002</v>
      </c>
    </row>
    <row r="36" spans="1:54" ht="15" customHeight="1" x14ac:dyDescent="0.2">
      <c r="A36" s="8" t="s">
        <v>295</v>
      </c>
      <c r="B36" s="91">
        <v>3503.6480000000001</v>
      </c>
      <c r="C36" s="91">
        <v>3214.6750000000002</v>
      </c>
      <c r="D36" s="91">
        <v>576.92399999999998</v>
      </c>
      <c r="E36" s="91">
        <v>543.86300000000006</v>
      </c>
      <c r="F36" s="91">
        <v>358.30099999999987</v>
      </c>
      <c r="G36" s="91">
        <v>4952.5050000000001</v>
      </c>
      <c r="H36" s="91">
        <v>214.03399999999999</v>
      </c>
      <c r="I36" s="91">
        <v>11829.356</v>
      </c>
      <c r="J36" s="91">
        <v>7268.2019999999993</v>
      </c>
      <c r="K36" s="91">
        <v>95.689000000000007</v>
      </c>
      <c r="L36" s="91">
        <v>11.881000000000002</v>
      </c>
      <c r="M36" s="91">
        <v>6.585</v>
      </c>
      <c r="N36" s="91">
        <v>4388.875</v>
      </c>
      <c r="O36" s="91">
        <v>851.37599999999998</v>
      </c>
      <c r="P36" s="91">
        <v>50.114999999999995</v>
      </c>
      <c r="Q36" s="91">
        <v>25.619</v>
      </c>
      <c r="R36" s="97">
        <v>13152.909</v>
      </c>
    </row>
    <row r="37" spans="1:54" ht="15" customHeight="1" x14ac:dyDescent="0.2">
      <c r="A37" s="8" t="s">
        <v>360</v>
      </c>
      <c r="B37" s="91">
        <v>5891.0869999999995</v>
      </c>
      <c r="C37" s="91">
        <v>2644.4359999999997</v>
      </c>
      <c r="D37" s="91">
        <v>327.815</v>
      </c>
      <c r="E37" s="91">
        <v>1291.106</v>
      </c>
      <c r="F37" s="91">
        <v>358.63599999999997</v>
      </c>
      <c r="G37" s="91">
        <v>5624.2449999999999</v>
      </c>
      <c r="H37" s="91">
        <v>196.161</v>
      </c>
      <c r="I37" s="91">
        <v>12773.188</v>
      </c>
      <c r="J37" s="91">
        <v>4346.63</v>
      </c>
      <c r="K37" s="91">
        <v>3004.9160000000002</v>
      </c>
      <c r="L37" s="91">
        <v>36.61</v>
      </c>
      <c r="M37" s="91">
        <v>17.521000000000001</v>
      </c>
      <c r="N37" s="91">
        <v>4523.9030000000002</v>
      </c>
      <c r="O37" s="91">
        <v>1698.3230000000001</v>
      </c>
      <c r="P37" s="91">
        <v>71.23599999999999</v>
      </c>
      <c r="Q37" s="91">
        <v>25.567999999999998</v>
      </c>
      <c r="R37" s="97">
        <v>10766.646000000002</v>
      </c>
    </row>
    <row r="38" spans="1:54" ht="15" customHeight="1" x14ac:dyDescent="0.2">
      <c r="A38" s="8" t="s">
        <v>361</v>
      </c>
      <c r="B38" s="91">
        <v>6423.8940000000002</v>
      </c>
      <c r="C38" s="91">
        <v>2719.366</v>
      </c>
      <c r="D38" s="91">
        <v>370.67500000000001</v>
      </c>
      <c r="E38" s="91">
        <v>616.21800000000007</v>
      </c>
      <c r="F38" s="91">
        <v>364.01099999999951</v>
      </c>
      <c r="G38" s="91">
        <v>4426.509</v>
      </c>
      <c r="H38" s="91">
        <v>231.98900000000003</v>
      </c>
      <c r="I38" s="91">
        <v>10987.066999999999</v>
      </c>
      <c r="J38" s="91">
        <v>8054.4100000000008</v>
      </c>
      <c r="K38" s="91">
        <v>1146.7550000000001</v>
      </c>
      <c r="L38" s="91">
        <v>24.224</v>
      </c>
      <c r="M38" s="91">
        <v>101.63500000000001</v>
      </c>
      <c r="N38" s="91">
        <v>6050.13</v>
      </c>
      <c r="O38" s="91">
        <v>707.35</v>
      </c>
      <c r="P38" s="91">
        <v>68.049000000000007</v>
      </c>
      <c r="Q38" s="91">
        <v>25.452999999999999</v>
      </c>
      <c r="R38" s="97">
        <v>4822.4219999999978</v>
      </c>
    </row>
    <row r="39" spans="1:54" ht="15" customHeight="1" x14ac:dyDescent="0.2">
      <c r="A39" s="173" t="s">
        <v>383</v>
      </c>
      <c r="B39" s="181">
        <v>5342.2810000000009</v>
      </c>
      <c r="C39" s="181">
        <v>2682.596</v>
      </c>
      <c r="D39" s="181">
        <v>373.40100000000001</v>
      </c>
      <c r="E39" s="181">
        <v>355.55399999999997</v>
      </c>
      <c r="F39" s="181">
        <v>337.46899999999926</v>
      </c>
      <c r="G39" s="181">
        <v>3373.7739999999999</v>
      </c>
      <c r="H39" s="181">
        <v>132.03899999999999</v>
      </c>
      <c r="I39" s="181">
        <v>8139.68</v>
      </c>
      <c r="J39" s="181">
        <v>3723.5509999999995</v>
      </c>
      <c r="K39" s="181">
        <v>501.87099999999998</v>
      </c>
      <c r="L39" s="181">
        <v>27.776000000000003</v>
      </c>
      <c r="M39" s="181">
        <v>61.798999999999999</v>
      </c>
      <c r="N39" s="181">
        <v>4651.4270000000006</v>
      </c>
      <c r="O39" s="181">
        <v>751.84400000000005</v>
      </c>
      <c r="P39" s="181">
        <v>67.972999999999999</v>
      </c>
      <c r="Q39" s="181">
        <v>44.097000000000001</v>
      </c>
      <c r="R39" s="178">
        <v>6162.9820000000009</v>
      </c>
    </row>
    <row r="40" spans="1:54" ht="15" customHeight="1" x14ac:dyDescent="0.2">
      <c r="A40" s="8"/>
      <c r="B40" s="91"/>
      <c r="C40" s="91"/>
      <c r="D40" s="91"/>
      <c r="E40" s="91"/>
      <c r="F40" s="91"/>
      <c r="G40" s="91"/>
      <c r="H40" s="91"/>
      <c r="I40" s="91"/>
      <c r="J40" s="91"/>
      <c r="K40" s="91"/>
      <c r="L40" s="91"/>
      <c r="M40" s="91"/>
      <c r="N40" s="91"/>
      <c r="O40" s="91"/>
      <c r="P40" s="91"/>
      <c r="Q40" s="91"/>
      <c r="R40" s="97"/>
    </row>
    <row r="41" spans="1:54" ht="15" customHeight="1" x14ac:dyDescent="0.2">
      <c r="A41" s="10">
        <v>43831</v>
      </c>
      <c r="B41" s="90">
        <v>1433.61</v>
      </c>
      <c r="C41" s="95">
        <v>464.09500000000003</v>
      </c>
      <c r="D41" s="90">
        <v>218.43899999999999</v>
      </c>
      <c r="E41" s="90">
        <v>145.46600000000001</v>
      </c>
      <c r="F41" s="95">
        <v>121.90100000000007</v>
      </c>
      <c r="G41" s="95">
        <v>1732.85</v>
      </c>
      <c r="H41" s="95">
        <v>59.747999999999998</v>
      </c>
      <c r="I41" s="95">
        <v>3187.1480000000001</v>
      </c>
      <c r="J41" s="95">
        <v>454.82900000000001</v>
      </c>
      <c r="K41" s="95">
        <v>0.375</v>
      </c>
      <c r="L41" s="95">
        <v>35.252000000000002</v>
      </c>
      <c r="M41" s="95">
        <v>1.514</v>
      </c>
      <c r="N41" s="95">
        <v>1458.33</v>
      </c>
      <c r="O41" s="95">
        <v>605.64800000000002</v>
      </c>
      <c r="P41" s="95">
        <v>9.9350000000000005</v>
      </c>
      <c r="Q41" s="95">
        <v>2.0449999999999999</v>
      </c>
      <c r="R41" s="95">
        <v>3737.1629999999991</v>
      </c>
    </row>
    <row r="42" spans="1:54" ht="15" customHeight="1" x14ac:dyDescent="0.2">
      <c r="A42" s="10">
        <v>43862</v>
      </c>
      <c r="B42" s="90">
        <v>1257.732</v>
      </c>
      <c r="C42" s="95">
        <v>352.81299999999999</v>
      </c>
      <c r="D42" s="90">
        <v>289.00700000000001</v>
      </c>
      <c r="E42" s="90">
        <v>53.015000000000001</v>
      </c>
      <c r="F42" s="95">
        <v>122.18300000000004</v>
      </c>
      <c r="G42" s="95">
        <v>1613.114</v>
      </c>
      <c r="H42" s="95">
        <v>51.796999999999997</v>
      </c>
      <c r="I42" s="95">
        <v>3151.0129999999999</v>
      </c>
      <c r="J42" s="95">
        <v>2206.998</v>
      </c>
      <c r="K42" s="95">
        <v>0.19</v>
      </c>
      <c r="L42" s="95">
        <v>63.424999999999997</v>
      </c>
      <c r="M42" s="95">
        <v>1.2589999999999999</v>
      </c>
      <c r="N42" s="95">
        <v>1703.74</v>
      </c>
      <c r="O42" s="95">
        <v>510.83800000000002</v>
      </c>
      <c r="P42" s="95">
        <v>7.81</v>
      </c>
      <c r="Q42" s="95">
        <v>5.585</v>
      </c>
      <c r="R42" s="95">
        <v>2767.637999999999</v>
      </c>
    </row>
    <row r="43" spans="1:54" ht="15" customHeight="1" x14ac:dyDescent="0.2">
      <c r="A43" s="10">
        <v>43891</v>
      </c>
      <c r="B43" s="90">
        <v>649.71600000000001</v>
      </c>
      <c r="C43" s="95">
        <v>151.67699999999999</v>
      </c>
      <c r="D43" s="90">
        <v>224.86199999999999</v>
      </c>
      <c r="E43" s="90">
        <v>77.335999999999999</v>
      </c>
      <c r="F43" s="95">
        <v>121.97699999999996</v>
      </c>
      <c r="G43" s="95">
        <v>1150.7049999999999</v>
      </c>
      <c r="H43" s="95">
        <v>47.917999999999999</v>
      </c>
      <c r="I43" s="95">
        <v>2897.0529999999999</v>
      </c>
      <c r="J43" s="95">
        <v>471.089</v>
      </c>
      <c r="K43" s="95">
        <v>0.15</v>
      </c>
      <c r="L43" s="95">
        <v>29.45</v>
      </c>
      <c r="M43" s="95">
        <v>1.212</v>
      </c>
      <c r="N43" s="95">
        <v>1204.04</v>
      </c>
      <c r="O43" s="95">
        <v>398.19600000000003</v>
      </c>
      <c r="P43" s="95">
        <v>7.8179999999999996</v>
      </c>
      <c r="Q43" s="95">
        <v>0.66</v>
      </c>
      <c r="R43" s="95">
        <v>1789.6110000000008</v>
      </c>
    </row>
    <row r="44" spans="1:54" ht="15" customHeight="1" x14ac:dyDescent="0.2">
      <c r="A44" s="10">
        <v>43922</v>
      </c>
      <c r="B44" s="90">
        <v>730.91499999999996</v>
      </c>
      <c r="C44" s="95">
        <v>150.398</v>
      </c>
      <c r="D44" s="90">
        <v>83.706999999999994</v>
      </c>
      <c r="E44" s="90">
        <v>62.158999999999999</v>
      </c>
      <c r="F44" s="95">
        <v>60.9630000000001</v>
      </c>
      <c r="G44" s="95">
        <v>1072.3030000000001</v>
      </c>
      <c r="H44" s="95">
        <v>41.651000000000003</v>
      </c>
      <c r="I44" s="95">
        <v>2898.3009999999999</v>
      </c>
      <c r="J44" s="95">
        <v>528.56500000000005</v>
      </c>
      <c r="K44" s="95">
        <v>0</v>
      </c>
      <c r="L44" s="95">
        <v>6.0629999999999997</v>
      </c>
      <c r="M44" s="95">
        <v>0.43</v>
      </c>
      <c r="N44" s="95">
        <v>333.55599999999998</v>
      </c>
      <c r="O44" s="95">
        <v>86.909000000000006</v>
      </c>
      <c r="P44" s="95">
        <v>2.74</v>
      </c>
      <c r="Q44" s="95">
        <v>0.435</v>
      </c>
      <c r="R44" s="95">
        <v>713.0830000000002</v>
      </c>
    </row>
    <row r="45" spans="1:54" ht="15" customHeight="1" x14ac:dyDescent="0.2">
      <c r="A45" s="10">
        <v>43952</v>
      </c>
      <c r="B45" s="90">
        <v>926.12800000000004</v>
      </c>
      <c r="C45" s="95">
        <v>761.30399999999997</v>
      </c>
      <c r="D45" s="90">
        <v>267.23</v>
      </c>
      <c r="E45" s="90">
        <v>207.75299999999999</v>
      </c>
      <c r="F45" s="95">
        <v>90.9819999999998</v>
      </c>
      <c r="G45" s="95">
        <v>1476.1790000000001</v>
      </c>
      <c r="H45" s="95">
        <v>44.664999999999999</v>
      </c>
      <c r="I45" s="95">
        <v>3557.835</v>
      </c>
      <c r="J45" s="95">
        <v>917.173</v>
      </c>
      <c r="K45" s="95">
        <v>3.0000000000000001E-3</v>
      </c>
      <c r="L45" s="95">
        <v>6.7889999999999997</v>
      </c>
      <c r="M45" s="95">
        <v>0.78400000000000003</v>
      </c>
      <c r="N45" s="95">
        <v>1126.8599999999999</v>
      </c>
      <c r="O45" s="95">
        <v>115.53700000000001</v>
      </c>
      <c r="P45" s="95">
        <v>15.455</v>
      </c>
      <c r="Q45" s="95">
        <v>1.85</v>
      </c>
      <c r="R45" s="95">
        <v>1400.674</v>
      </c>
    </row>
    <row r="46" spans="1:54" ht="15" customHeight="1" x14ac:dyDescent="0.2">
      <c r="A46" s="10">
        <v>43983</v>
      </c>
      <c r="B46" s="90">
        <v>1660.662</v>
      </c>
      <c r="C46" s="95">
        <v>1428.731</v>
      </c>
      <c r="D46" s="90">
        <v>238.327</v>
      </c>
      <c r="E46" s="90">
        <v>324.95100000000002</v>
      </c>
      <c r="F46" s="95">
        <v>150.23099999999977</v>
      </c>
      <c r="G46" s="95">
        <v>3007.8510000000001</v>
      </c>
      <c r="H46" s="95">
        <v>66.495999999999995</v>
      </c>
      <c r="I46" s="95">
        <v>3958.84</v>
      </c>
      <c r="J46" s="95">
        <v>916.66300000000001</v>
      </c>
      <c r="K46" s="95">
        <v>3.5000000000000003E-2</v>
      </c>
      <c r="L46" s="95">
        <v>20.908000000000001</v>
      </c>
      <c r="M46" s="95">
        <v>2.8039999999999998</v>
      </c>
      <c r="N46" s="95">
        <v>2169.58</v>
      </c>
      <c r="O46" s="95">
        <v>315.60700000000003</v>
      </c>
      <c r="P46" s="95">
        <v>15.778</v>
      </c>
      <c r="Q46" s="95">
        <v>0.67600000000000005</v>
      </c>
      <c r="R46" s="95">
        <v>4165.6099999999988</v>
      </c>
    </row>
    <row r="47" spans="1:54" ht="15" customHeight="1" x14ac:dyDescent="0.2">
      <c r="A47" s="10">
        <v>44013</v>
      </c>
      <c r="B47" s="90">
        <v>2210.2399999999998</v>
      </c>
      <c r="C47" s="95">
        <v>1458.6569999999999</v>
      </c>
      <c r="D47" s="90">
        <v>366.71899999999999</v>
      </c>
      <c r="E47" s="90">
        <v>449.67700000000002</v>
      </c>
      <c r="F47" s="95">
        <v>133.55900000000008</v>
      </c>
      <c r="G47" s="95">
        <v>8424.7620000000006</v>
      </c>
      <c r="H47" s="95">
        <v>83.516999999999996</v>
      </c>
      <c r="I47" s="95">
        <v>3570.6509999999998</v>
      </c>
      <c r="J47" s="95">
        <v>766.17200000000003</v>
      </c>
      <c r="K47" s="95">
        <v>0.67100000000000004</v>
      </c>
      <c r="L47" s="95">
        <v>20.443000000000001</v>
      </c>
      <c r="M47" s="95">
        <v>4.6749999999999998</v>
      </c>
      <c r="N47" s="95">
        <v>2374.94</v>
      </c>
      <c r="O47" s="95">
        <v>285.70600000000002</v>
      </c>
      <c r="P47" s="95">
        <v>28.605</v>
      </c>
      <c r="Q47" s="95">
        <v>8.4909999999999997</v>
      </c>
      <c r="R47" s="95">
        <v>3026.8539999999994</v>
      </c>
    </row>
    <row r="48" spans="1:54" ht="15" customHeight="1" x14ac:dyDescent="0.2">
      <c r="A48" s="10">
        <v>44044</v>
      </c>
      <c r="B48" s="90">
        <v>2410.2249999999999</v>
      </c>
      <c r="C48" s="95">
        <v>805.45100000000002</v>
      </c>
      <c r="D48" s="90">
        <v>217.565</v>
      </c>
      <c r="E48" s="90">
        <v>238.505</v>
      </c>
      <c r="F48" s="95">
        <v>97.288000000000181</v>
      </c>
      <c r="G48" s="95">
        <v>6404.8329999999996</v>
      </c>
      <c r="H48" s="95">
        <v>119.834</v>
      </c>
      <c r="I48" s="95">
        <v>2692.8040000000001</v>
      </c>
      <c r="J48" s="95">
        <v>775.19500000000005</v>
      </c>
      <c r="K48" s="95">
        <v>0.15</v>
      </c>
      <c r="L48" s="95">
        <v>13.541</v>
      </c>
      <c r="M48" s="95">
        <v>4.7089999999999996</v>
      </c>
      <c r="N48" s="95">
        <v>1497.26</v>
      </c>
      <c r="O48" s="95">
        <v>192.679</v>
      </c>
      <c r="P48" s="95">
        <v>10.119999999999999</v>
      </c>
      <c r="Q48" s="95">
        <v>2.552</v>
      </c>
      <c r="R48" s="95">
        <v>1950.0479999999995</v>
      </c>
    </row>
    <row r="49" spans="1:18" ht="15" customHeight="1" x14ac:dyDescent="0.2">
      <c r="A49" s="10">
        <v>44075</v>
      </c>
      <c r="B49" s="90">
        <v>2378.011</v>
      </c>
      <c r="C49" s="95">
        <v>928.75800000000004</v>
      </c>
      <c r="D49" s="90">
        <v>126.926</v>
      </c>
      <c r="E49" s="90">
        <v>267.07799999999997</v>
      </c>
      <c r="F49" s="95">
        <v>157.19200000000018</v>
      </c>
      <c r="G49" s="95">
        <v>1453.7529999999999</v>
      </c>
      <c r="H49" s="95">
        <v>86.251999999999995</v>
      </c>
      <c r="I49" s="95">
        <v>3299.3530000000001</v>
      </c>
      <c r="J49" s="95">
        <v>1059.4369999999999</v>
      </c>
      <c r="K49" s="95">
        <v>0.2</v>
      </c>
      <c r="L49" s="95">
        <v>25.36</v>
      </c>
      <c r="M49" s="95">
        <v>3.907</v>
      </c>
      <c r="N49" s="95">
        <v>476.79</v>
      </c>
      <c r="O49" s="95">
        <v>533.096</v>
      </c>
      <c r="P49" s="95">
        <v>24.035</v>
      </c>
      <c r="Q49" s="95">
        <v>2.0579999999999998</v>
      </c>
      <c r="R49" s="95">
        <v>1901.0309999999997</v>
      </c>
    </row>
    <row r="50" spans="1:18" ht="15" customHeight="1" x14ac:dyDescent="0.2">
      <c r="A50" s="10">
        <v>44105</v>
      </c>
      <c r="B50" s="90">
        <v>1877.404</v>
      </c>
      <c r="C50" s="95">
        <v>663.05799999999999</v>
      </c>
      <c r="D50" s="90">
        <v>130.85400000000001</v>
      </c>
      <c r="E50" s="90">
        <v>193.649</v>
      </c>
      <c r="F50" s="95">
        <v>128.34800000000007</v>
      </c>
      <c r="G50" s="95">
        <v>4332.8450000000003</v>
      </c>
      <c r="H50" s="95">
        <v>99.525000000000006</v>
      </c>
      <c r="I50" s="95">
        <v>3744.6149999999998</v>
      </c>
      <c r="J50" s="95">
        <v>694.29200000000003</v>
      </c>
      <c r="K50" s="95">
        <v>0</v>
      </c>
      <c r="L50" s="95">
        <v>21.111999999999998</v>
      </c>
      <c r="M50" s="95">
        <v>1.7190000000000001</v>
      </c>
      <c r="N50" s="95">
        <v>164.33500000000001</v>
      </c>
      <c r="O50" s="95">
        <v>409.73399999999998</v>
      </c>
      <c r="P50" s="95">
        <v>17.462</v>
      </c>
      <c r="Q50" s="95">
        <v>5.75</v>
      </c>
      <c r="R50" s="95">
        <v>2265.4</v>
      </c>
    </row>
    <row r="51" spans="1:18" ht="15" customHeight="1" x14ac:dyDescent="0.2">
      <c r="A51" s="10">
        <v>44136</v>
      </c>
      <c r="B51" s="90">
        <v>2050.96</v>
      </c>
      <c r="C51" s="95">
        <v>938.76599999999996</v>
      </c>
      <c r="D51" s="90">
        <v>115.509</v>
      </c>
      <c r="E51" s="90">
        <v>239.49</v>
      </c>
      <c r="F51" s="95">
        <v>146.59099999999978</v>
      </c>
      <c r="G51" s="95">
        <v>1574.7929999999999</v>
      </c>
      <c r="H51" s="95">
        <v>59.783000000000001</v>
      </c>
      <c r="I51" s="95">
        <v>3079.2049999999999</v>
      </c>
      <c r="J51" s="95">
        <v>1701.7159999999999</v>
      </c>
      <c r="K51" s="95">
        <v>0.52</v>
      </c>
      <c r="L51" s="95">
        <v>8.3810000000000002</v>
      </c>
      <c r="M51" s="95">
        <v>1.4119999999999999</v>
      </c>
      <c r="N51" s="95">
        <v>73.19</v>
      </c>
      <c r="O51" s="95">
        <v>285.93799999999999</v>
      </c>
      <c r="P51" s="95">
        <v>12.829000000000001</v>
      </c>
      <c r="Q51" s="95">
        <v>4.1509999999999998</v>
      </c>
      <c r="R51" s="95">
        <v>2311.5750000000007</v>
      </c>
    </row>
    <row r="52" spans="1:18" ht="15" customHeight="1" x14ac:dyDescent="0.2">
      <c r="A52" s="10">
        <v>44166</v>
      </c>
      <c r="B52" s="90">
        <v>1503.915</v>
      </c>
      <c r="C52" s="95">
        <v>1438.433</v>
      </c>
      <c r="D52" s="90">
        <v>318.07499999999999</v>
      </c>
      <c r="E52" s="90">
        <v>192.08699999999999</v>
      </c>
      <c r="F52" s="95">
        <v>115.35299999999989</v>
      </c>
      <c r="G52" s="95">
        <v>962.36400000000003</v>
      </c>
      <c r="H52" s="95">
        <v>81.885999999999996</v>
      </c>
      <c r="I52" s="95">
        <v>2688.2150000000001</v>
      </c>
      <c r="J52" s="95">
        <v>1008.421</v>
      </c>
      <c r="K52" s="95">
        <v>0</v>
      </c>
      <c r="L52" s="95">
        <v>4.5830000000000002</v>
      </c>
      <c r="M52" s="95">
        <v>2.2240000000000002</v>
      </c>
      <c r="N52" s="95">
        <v>1.36</v>
      </c>
      <c r="O52" s="95">
        <v>199.803</v>
      </c>
      <c r="P52" s="95">
        <v>30.440999999999999</v>
      </c>
      <c r="Q52" s="95">
        <v>5.4480000000000004</v>
      </c>
      <c r="R52" s="95">
        <v>2989.9809999999993</v>
      </c>
    </row>
    <row r="53" spans="1:18" ht="15" customHeight="1" x14ac:dyDescent="0.2">
      <c r="A53" s="11">
        <v>44197</v>
      </c>
      <c r="B53" s="91">
        <v>2034.1990000000001</v>
      </c>
      <c r="C53" s="97">
        <v>1488.963</v>
      </c>
      <c r="D53" s="91">
        <v>686.61800000000005</v>
      </c>
      <c r="E53" s="91">
        <v>124.553</v>
      </c>
      <c r="F53" s="97">
        <v>154.41699999999992</v>
      </c>
      <c r="G53" s="97">
        <v>1131.991</v>
      </c>
      <c r="H53" s="97">
        <v>48.075000000000003</v>
      </c>
      <c r="I53" s="97">
        <v>2784.4780000000001</v>
      </c>
      <c r="J53" s="97">
        <v>810.05899999999997</v>
      </c>
      <c r="K53" s="97">
        <v>2.5000000000000001E-2</v>
      </c>
      <c r="L53" s="97">
        <v>17.28</v>
      </c>
      <c r="M53" s="97">
        <v>0.79100000000000004</v>
      </c>
      <c r="N53" s="97">
        <v>155.11000000000001</v>
      </c>
      <c r="O53" s="97">
        <v>279.06799999999998</v>
      </c>
      <c r="P53" s="97">
        <v>22.347999999999999</v>
      </c>
      <c r="Q53" s="97">
        <v>5.1790000000000003</v>
      </c>
      <c r="R53" s="97">
        <v>2845.0339999999997</v>
      </c>
    </row>
    <row r="54" spans="1:18" ht="15" customHeight="1" x14ac:dyDescent="0.2">
      <c r="A54" s="11">
        <v>44228</v>
      </c>
      <c r="B54" s="91">
        <v>1303.6500000000001</v>
      </c>
      <c r="C54" s="97">
        <v>1338.08</v>
      </c>
      <c r="D54" s="91">
        <v>1192.037</v>
      </c>
      <c r="E54" s="91">
        <v>137.04300000000001</v>
      </c>
      <c r="F54" s="97">
        <v>109.30999999999983</v>
      </c>
      <c r="G54" s="97">
        <v>1266.9079999999999</v>
      </c>
      <c r="H54" s="97">
        <v>52.692999999999998</v>
      </c>
      <c r="I54" s="97">
        <v>2836.5340000000001</v>
      </c>
      <c r="J54" s="97">
        <v>728.69600000000003</v>
      </c>
      <c r="K54" s="97">
        <v>5.5E-2</v>
      </c>
      <c r="L54" s="97">
        <v>7.165</v>
      </c>
      <c r="M54" s="97">
        <v>3.2530000000000001</v>
      </c>
      <c r="N54" s="97">
        <v>589.25</v>
      </c>
      <c r="O54" s="97">
        <v>315.10500000000002</v>
      </c>
      <c r="P54" s="97">
        <v>11.609</v>
      </c>
      <c r="Q54" s="97">
        <v>2.8879999999999999</v>
      </c>
      <c r="R54" s="97">
        <v>2828.0590000000002</v>
      </c>
    </row>
    <row r="55" spans="1:18" ht="15" customHeight="1" x14ac:dyDescent="0.2">
      <c r="A55" s="11">
        <v>44256</v>
      </c>
      <c r="B55" s="91">
        <v>1408.519</v>
      </c>
      <c r="C55" s="97">
        <v>2028.873</v>
      </c>
      <c r="D55" s="91">
        <v>1240.4459999999999</v>
      </c>
      <c r="E55" s="91">
        <v>122.947</v>
      </c>
      <c r="F55" s="97">
        <v>213.0269999999997</v>
      </c>
      <c r="G55" s="97">
        <v>3043.8719999999998</v>
      </c>
      <c r="H55" s="97">
        <v>119.145</v>
      </c>
      <c r="I55" s="97">
        <v>3778.7440000000001</v>
      </c>
      <c r="J55" s="97">
        <v>1019.885</v>
      </c>
      <c r="K55" s="97">
        <v>2.3220000000000001</v>
      </c>
      <c r="L55" s="97">
        <v>18.888999999999999</v>
      </c>
      <c r="M55" s="97">
        <v>2.1629999999999998</v>
      </c>
      <c r="N55" s="97">
        <v>1196.52</v>
      </c>
      <c r="O55" s="97">
        <v>558.36800000000005</v>
      </c>
      <c r="P55" s="97">
        <v>19.885999999999999</v>
      </c>
      <c r="Q55" s="97">
        <v>6.351</v>
      </c>
      <c r="R55" s="97">
        <v>3515.8889999999988</v>
      </c>
    </row>
    <row r="56" spans="1:18" ht="15" customHeight="1" x14ac:dyDescent="0.2">
      <c r="A56" s="11">
        <v>44287</v>
      </c>
      <c r="B56" s="91">
        <v>748.55100000000004</v>
      </c>
      <c r="C56" s="97">
        <v>1241.2739999999999</v>
      </c>
      <c r="D56" s="91">
        <v>629.9</v>
      </c>
      <c r="E56" s="91">
        <v>124.416</v>
      </c>
      <c r="F56" s="97">
        <v>73.71500000000043</v>
      </c>
      <c r="G56" s="97">
        <v>1088.1469999999999</v>
      </c>
      <c r="H56" s="97">
        <v>72.215999999999994</v>
      </c>
      <c r="I56" s="97">
        <v>3233.13</v>
      </c>
      <c r="J56" s="97">
        <v>390.29300000000001</v>
      </c>
      <c r="K56" s="97">
        <v>8.4000000000000005E-2</v>
      </c>
      <c r="L56" s="97">
        <v>6.6180000000000003</v>
      </c>
      <c r="M56" s="97">
        <v>1.073</v>
      </c>
      <c r="N56" s="97">
        <v>936.54399999999998</v>
      </c>
      <c r="O56" s="97">
        <v>193.22200000000001</v>
      </c>
      <c r="P56" s="97">
        <v>5.28</v>
      </c>
      <c r="Q56" s="97">
        <v>1.371</v>
      </c>
      <c r="R56" s="97">
        <v>2067.4270000000001</v>
      </c>
    </row>
    <row r="57" spans="1:18" ht="15" customHeight="1" x14ac:dyDescent="0.2">
      <c r="A57" s="11">
        <v>44317</v>
      </c>
      <c r="B57" s="91">
        <v>992.85299999999995</v>
      </c>
      <c r="C57" s="97">
        <v>667.20699999999999</v>
      </c>
      <c r="D57" s="91">
        <v>498.44299999999998</v>
      </c>
      <c r="E57" s="91">
        <v>237.04599999999999</v>
      </c>
      <c r="F57" s="97">
        <v>111.44</v>
      </c>
      <c r="G57" s="97">
        <v>1836.7929999999999</v>
      </c>
      <c r="H57" s="97">
        <v>41.435000000000002</v>
      </c>
      <c r="I57" s="97">
        <v>3738.92</v>
      </c>
      <c r="J57" s="97">
        <v>994.07299999999998</v>
      </c>
      <c r="K57" s="97">
        <v>0</v>
      </c>
      <c r="L57" s="97">
        <v>2.6920000000000002</v>
      </c>
      <c r="M57" s="97">
        <v>1.4710000000000001</v>
      </c>
      <c r="N57" s="97">
        <v>869.31</v>
      </c>
      <c r="O57" s="97">
        <v>117.303</v>
      </c>
      <c r="P57" s="97">
        <v>22.591000000000001</v>
      </c>
      <c r="Q57" s="97">
        <v>2.419</v>
      </c>
      <c r="R57" s="97">
        <v>2405.6750000000002</v>
      </c>
    </row>
    <row r="58" spans="1:18" ht="15" customHeight="1" x14ac:dyDescent="0.2">
      <c r="A58" s="11">
        <v>44348</v>
      </c>
      <c r="B58" s="91">
        <v>1499.771</v>
      </c>
      <c r="C58" s="97">
        <v>1416.537</v>
      </c>
      <c r="D58" s="91">
        <v>609.76400000000001</v>
      </c>
      <c r="E58" s="91">
        <v>259.84399999999999</v>
      </c>
      <c r="F58" s="97">
        <v>147.78000000000014</v>
      </c>
      <c r="G58" s="97">
        <v>2451.364</v>
      </c>
      <c r="H58" s="97">
        <v>64.409000000000006</v>
      </c>
      <c r="I58" s="97">
        <v>3914.4389999999999</v>
      </c>
      <c r="J58" s="97">
        <v>499.37900000000002</v>
      </c>
      <c r="K58" s="97">
        <v>0.2</v>
      </c>
      <c r="L58" s="97">
        <v>2.3069999999999999</v>
      </c>
      <c r="M58" s="97">
        <v>2.1549999999999998</v>
      </c>
      <c r="N58" s="97">
        <v>495.24900000000002</v>
      </c>
      <c r="O58" s="97">
        <v>134.91200000000001</v>
      </c>
      <c r="P58" s="97">
        <v>15.193</v>
      </c>
      <c r="Q58" s="97">
        <v>5.5030000000000001</v>
      </c>
      <c r="R58" s="97">
        <v>2999.6619999999994</v>
      </c>
    </row>
    <row r="59" spans="1:18" ht="15" customHeight="1" x14ac:dyDescent="0.2">
      <c r="A59" s="11">
        <v>44378</v>
      </c>
      <c r="B59" s="91">
        <v>2188.009</v>
      </c>
      <c r="C59" s="97">
        <v>1374.277</v>
      </c>
      <c r="D59" s="91">
        <v>413.255</v>
      </c>
      <c r="E59" s="91">
        <v>474.32299999999998</v>
      </c>
      <c r="F59" s="97">
        <v>145.04800000000023</v>
      </c>
      <c r="G59" s="97">
        <v>2944.953</v>
      </c>
      <c r="H59" s="97">
        <v>72.215000000000003</v>
      </c>
      <c r="I59" s="97">
        <v>4139.3090000000002</v>
      </c>
      <c r="J59" s="97">
        <v>2987.39</v>
      </c>
      <c r="K59" s="97">
        <v>475.2</v>
      </c>
      <c r="L59" s="97">
        <v>9.0410000000000004</v>
      </c>
      <c r="M59" s="97">
        <v>1.8919999999999999</v>
      </c>
      <c r="N59" s="97">
        <v>953.13499999999999</v>
      </c>
      <c r="O59" s="97">
        <v>336.43299999999999</v>
      </c>
      <c r="P59" s="97">
        <v>26.870999999999999</v>
      </c>
      <c r="Q59" s="97">
        <v>4.8049999999999997</v>
      </c>
      <c r="R59" s="97">
        <v>3417.4419999999996</v>
      </c>
    </row>
    <row r="60" spans="1:18" ht="15" customHeight="1" x14ac:dyDescent="0.2">
      <c r="A60" s="11">
        <v>44409</v>
      </c>
      <c r="B60" s="91">
        <v>1640.2249999999999</v>
      </c>
      <c r="C60" s="97">
        <v>1579.347</v>
      </c>
      <c r="D60" s="91">
        <v>347.28399999999999</v>
      </c>
      <c r="E60" s="91">
        <v>346.10899999999998</v>
      </c>
      <c r="F60" s="97">
        <v>109.37600000000003</v>
      </c>
      <c r="G60" s="97">
        <v>2377.5189999999998</v>
      </c>
      <c r="H60" s="97">
        <v>53.399000000000001</v>
      </c>
      <c r="I60" s="97">
        <v>3683.7170000000001</v>
      </c>
      <c r="J60" s="97">
        <v>847.74800000000005</v>
      </c>
      <c r="K60" s="97">
        <v>779.65200000000004</v>
      </c>
      <c r="L60" s="97">
        <v>14.571</v>
      </c>
      <c r="M60" s="97">
        <v>6.0979999999999999</v>
      </c>
      <c r="N60" s="97">
        <v>1744.55</v>
      </c>
      <c r="O60" s="97">
        <v>130.25800000000001</v>
      </c>
      <c r="P60" s="97">
        <v>15.718</v>
      </c>
      <c r="Q60" s="97">
        <v>1.2090000000000001</v>
      </c>
      <c r="R60" s="97">
        <v>1634.822999999999</v>
      </c>
    </row>
    <row r="61" spans="1:18" ht="15" customHeight="1" x14ac:dyDescent="0.2">
      <c r="A61" s="11">
        <v>44440</v>
      </c>
      <c r="B61" s="91">
        <v>1850.8920000000001</v>
      </c>
      <c r="C61" s="97">
        <v>1159.2339999999999</v>
      </c>
      <c r="D61" s="91">
        <v>243.149</v>
      </c>
      <c r="E61" s="91">
        <v>210.655</v>
      </c>
      <c r="F61" s="97">
        <v>89.318000000000069</v>
      </c>
      <c r="G61" s="97">
        <v>1112.6379999999999</v>
      </c>
      <c r="H61" s="97">
        <v>30.356000000000002</v>
      </c>
      <c r="I61" s="97">
        <v>3489.0210000000002</v>
      </c>
      <c r="J61" s="97">
        <v>913.452</v>
      </c>
      <c r="K61" s="97">
        <v>260.5</v>
      </c>
      <c r="L61" s="97">
        <v>21.190999999999999</v>
      </c>
      <c r="M61" s="97">
        <v>1.704</v>
      </c>
      <c r="N61" s="97">
        <v>1019.42</v>
      </c>
      <c r="O61" s="97">
        <v>401.79899999999998</v>
      </c>
      <c r="P61" s="97">
        <v>27.623999999999999</v>
      </c>
      <c r="Q61" s="97">
        <v>0.38500000000000001</v>
      </c>
      <c r="R61" s="97">
        <v>2199.1519999999987</v>
      </c>
    </row>
    <row r="62" spans="1:18" ht="15" customHeight="1" x14ac:dyDescent="0.2">
      <c r="A62" s="11">
        <v>44470</v>
      </c>
      <c r="B62" s="91">
        <v>2274.5479999999998</v>
      </c>
      <c r="C62" s="97">
        <v>1494.3969999999999</v>
      </c>
      <c r="D62" s="91">
        <v>208.36799999999999</v>
      </c>
      <c r="E62" s="91">
        <v>228.66</v>
      </c>
      <c r="F62" s="97">
        <v>89.9620000000007</v>
      </c>
      <c r="G62" s="97">
        <v>1424.828</v>
      </c>
      <c r="H62" s="97">
        <v>69.921999999999997</v>
      </c>
      <c r="I62" s="97">
        <v>4341.9530000000004</v>
      </c>
      <c r="J62" s="97">
        <v>3861.7730000000001</v>
      </c>
      <c r="K62" s="97">
        <v>171.1</v>
      </c>
      <c r="L62" s="97">
        <v>21.67</v>
      </c>
      <c r="M62" s="97">
        <v>2.6749999999999998</v>
      </c>
      <c r="N62" s="97">
        <v>1160.7840000000001</v>
      </c>
      <c r="O62" s="97">
        <v>332.15199999999999</v>
      </c>
      <c r="P62" s="97">
        <v>10.353999999999999</v>
      </c>
      <c r="Q62" s="97">
        <v>0.34699999999999998</v>
      </c>
      <c r="R62" s="97">
        <v>3769.8959999999997</v>
      </c>
    </row>
    <row r="63" spans="1:18" ht="15" customHeight="1" x14ac:dyDescent="0.2">
      <c r="A63" s="11">
        <v>44501</v>
      </c>
      <c r="B63" s="91">
        <v>1719.99</v>
      </c>
      <c r="C63" s="97">
        <v>2416.9879999999998</v>
      </c>
      <c r="D63" s="91">
        <v>259.495</v>
      </c>
      <c r="E63" s="91">
        <v>197.88499999999999</v>
      </c>
      <c r="F63" s="97">
        <v>159.31000000000006</v>
      </c>
      <c r="G63" s="97">
        <v>1693.9390000000001</v>
      </c>
      <c r="H63" s="97">
        <v>126.517</v>
      </c>
      <c r="I63" s="97">
        <v>4016.5129999999999</v>
      </c>
      <c r="J63" s="97">
        <v>2048.5619999999999</v>
      </c>
      <c r="K63" s="97">
        <v>741.31</v>
      </c>
      <c r="L63" s="97">
        <v>27.602</v>
      </c>
      <c r="M63" s="97">
        <v>3.5129999999999999</v>
      </c>
      <c r="N63" s="97">
        <v>793.774</v>
      </c>
      <c r="O63" s="97">
        <v>664.98</v>
      </c>
      <c r="P63" s="97">
        <v>42.008000000000003</v>
      </c>
      <c r="Q63" s="97">
        <v>0.53400000000000003</v>
      </c>
      <c r="R63" s="97">
        <v>1775.0489999999998</v>
      </c>
    </row>
    <row r="64" spans="1:18" ht="15" customHeight="1" x14ac:dyDescent="0.2">
      <c r="A64" s="11">
        <v>44531</v>
      </c>
      <c r="B64" s="91">
        <v>1533.615</v>
      </c>
      <c r="C64" s="97">
        <v>2369.9699999999998</v>
      </c>
      <c r="D64" s="91">
        <v>157.74799999999999</v>
      </c>
      <c r="E64" s="91">
        <v>187.44200000000001</v>
      </c>
      <c r="F64" s="97">
        <v>101.26200000000068</v>
      </c>
      <c r="G64" s="97">
        <v>1167.2280000000001</v>
      </c>
      <c r="H64" s="97">
        <v>74.156000000000006</v>
      </c>
      <c r="I64" s="97">
        <v>3468.8</v>
      </c>
      <c r="J64" s="97">
        <v>521.51</v>
      </c>
      <c r="K64" s="97">
        <v>306.00099999999998</v>
      </c>
      <c r="L64" s="97">
        <v>10.393000000000001</v>
      </c>
      <c r="M64" s="97">
        <v>3.69</v>
      </c>
      <c r="N64" s="97">
        <v>574.61</v>
      </c>
      <c r="O64" s="97">
        <v>370.07499999999999</v>
      </c>
      <c r="P64" s="97">
        <v>19.885999999999999</v>
      </c>
      <c r="Q64" s="97">
        <v>0.33800000000000002</v>
      </c>
      <c r="R64" s="97">
        <v>1757.9209999999994</v>
      </c>
    </row>
    <row r="65" spans="1:18" ht="15" customHeight="1" x14ac:dyDescent="0.2">
      <c r="A65" s="10">
        <v>44562</v>
      </c>
      <c r="B65" s="90">
        <v>1579.836</v>
      </c>
      <c r="C65" s="95">
        <v>1488.9829999999999</v>
      </c>
      <c r="D65" s="90">
        <v>135.04</v>
      </c>
      <c r="E65" s="90">
        <v>157.208</v>
      </c>
      <c r="F65" s="95">
        <v>86.235999999999933</v>
      </c>
      <c r="G65" s="95">
        <v>1544.9559999999999</v>
      </c>
      <c r="H65" s="95">
        <v>109.69499999999999</v>
      </c>
      <c r="I65" s="95">
        <v>3028.79</v>
      </c>
      <c r="J65" s="95">
        <v>346.56799999999998</v>
      </c>
      <c r="K65" s="95">
        <v>285</v>
      </c>
      <c r="L65" s="95">
        <v>5.1870000000000003</v>
      </c>
      <c r="M65" s="95">
        <v>1.93</v>
      </c>
      <c r="N65" s="95">
        <v>725.83799999999997</v>
      </c>
      <c r="O65" s="95">
        <v>242.17099999999999</v>
      </c>
      <c r="P65" s="95">
        <v>10.837</v>
      </c>
      <c r="Q65" s="95">
        <v>0.75800000000000001</v>
      </c>
      <c r="R65" s="95">
        <v>2904.9120000000003</v>
      </c>
    </row>
    <row r="66" spans="1:18" ht="15" customHeight="1" x14ac:dyDescent="0.2">
      <c r="A66" s="10">
        <v>44593</v>
      </c>
      <c r="B66" s="90">
        <v>1042.5930000000001</v>
      </c>
      <c r="C66" s="95">
        <v>1419.125</v>
      </c>
      <c r="D66" s="90">
        <v>183.33500000000001</v>
      </c>
      <c r="E66" s="90">
        <v>53.375999999999998</v>
      </c>
      <c r="F66" s="95">
        <v>124.33999999999969</v>
      </c>
      <c r="G66" s="95">
        <v>999.12599999999998</v>
      </c>
      <c r="H66" s="95">
        <v>83.504999999999995</v>
      </c>
      <c r="I66" s="95">
        <v>2784.9430000000002</v>
      </c>
      <c r="J66" s="95">
        <v>2067.8270000000002</v>
      </c>
      <c r="K66" s="95">
        <v>437.3</v>
      </c>
      <c r="L66" s="95">
        <v>5.72</v>
      </c>
      <c r="M66" s="95">
        <v>2.5209999999999999</v>
      </c>
      <c r="N66" s="95">
        <v>621.1</v>
      </c>
      <c r="O66" s="95">
        <v>212.38</v>
      </c>
      <c r="P66" s="95">
        <v>18.318999999999999</v>
      </c>
      <c r="Q66" s="95">
        <v>0.30299999999999999</v>
      </c>
      <c r="R66" s="95">
        <v>3285.6849999999995</v>
      </c>
    </row>
    <row r="67" spans="1:18" ht="15" customHeight="1" x14ac:dyDescent="0.2">
      <c r="A67" s="10">
        <v>44621</v>
      </c>
      <c r="B67" s="90">
        <v>936.48599999999999</v>
      </c>
      <c r="C67" s="95">
        <v>1164.02</v>
      </c>
      <c r="D67" s="90">
        <v>228.25899999999999</v>
      </c>
      <c r="E67" s="90">
        <v>203.33500000000001</v>
      </c>
      <c r="F67" s="95">
        <v>103.5160000000001</v>
      </c>
      <c r="G67" s="95">
        <v>1307.2380000000001</v>
      </c>
      <c r="H67" s="95">
        <v>71.057000000000002</v>
      </c>
      <c r="I67" s="95">
        <v>3591.1729999999998</v>
      </c>
      <c r="J67" s="95">
        <v>1888.6189999999999</v>
      </c>
      <c r="K67" s="95">
        <v>650.86</v>
      </c>
      <c r="L67" s="95">
        <v>6.258</v>
      </c>
      <c r="M67" s="95">
        <v>4.2290000000000001</v>
      </c>
      <c r="N67" s="95">
        <v>1031.1400000000001</v>
      </c>
      <c r="O67" s="95">
        <v>402.17399999999998</v>
      </c>
      <c r="P67" s="95">
        <v>26.393999999999998</v>
      </c>
      <c r="Q67" s="95">
        <v>13.202</v>
      </c>
      <c r="R67" s="95">
        <v>3052.5940000000005</v>
      </c>
    </row>
    <row r="68" spans="1:18" ht="15" customHeight="1" x14ac:dyDescent="0.2">
      <c r="A68" s="10">
        <v>44652</v>
      </c>
      <c r="B68" s="90">
        <v>1091.83</v>
      </c>
      <c r="C68" s="95">
        <v>660.69399999999996</v>
      </c>
      <c r="D68" s="90">
        <v>225.01</v>
      </c>
      <c r="E68" s="90">
        <v>94.119</v>
      </c>
      <c r="F68" s="95">
        <v>157.75800000000018</v>
      </c>
      <c r="G68" s="95">
        <v>1200.1769999999999</v>
      </c>
      <c r="H68" s="95">
        <v>32.844000000000001</v>
      </c>
      <c r="I68" s="95">
        <v>3943.7429999999999</v>
      </c>
      <c r="J68" s="95">
        <v>1526.049</v>
      </c>
      <c r="K68" s="95">
        <v>873.1</v>
      </c>
      <c r="L68" s="95">
        <v>5.1769999999999996</v>
      </c>
      <c r="M68" s="95">
        <v>2.0049999999999999</v>
      </c>
      <c r="N68" s="95">
        <v>1768.5</v>
      </c>
      <c r="O68" s="95">
        <v>162.744</v>
      </c>
      <c r="P68" s="95">
        <v>15.378</v>
      </c>
      <c r="Q68" s="95">
        <v>2.9670000000000001</v>
      </c>
      <c r="R68" s="95">
        <v>2391.6889999999999</v>
      </c>
    </row>
    <row r="69" spans="1:18" ht="15" customHeight="1" x14ac:dyDescent="0.2">
      <c r="A69" s="10">
        <v>44682</v>
      </c>
      <c r="B69" s="90">
        <v>1043.0530000000001</v>
      </c>
      <c r="C69" s="95">
        <v>638.96799999999996</v>
      </c>
      <c r="D69" s="90">
        <v>130.63200000000001</v>
      </c>
      <c r="E69" s="90">
        <v>156.22800000000001</v>
      </c>
      <c r="F69" s="95">
        <v>97.847999999999729</v>
      </c>
      <c r="G69" s="95">
        <v>1306.741</v>
      </c>
      <c r="H69" s="95">
        <v>52.707000000000001</v>
      </c>
      <c r="I69" s="95">
        <v>3526.0070000000001</v>
      </c>
      <c r="J69" s="95">
        <v>2909.752</v>
      </c>
      <c r="K69" s="95">
        <v>1045</v>
      </c>
      <c r="L69" s="95">
        <v>3.7490000000000001</v>
      </c>
      <c r="M69" s="95">
        <v>1.661</v>
      </c>
      <c r="N69" s="95">
        <v>2468.7910000000002</v>
      </c>
      <c r="O69" s="95">
        <v>209.91300000000001</v>
      </c>
      <c r="P69" s="95">
        <v>16.163</v>
      </c>
      <c r="Q69" s="95">
        <v>7.9649999999999999</v>
      </c>
      <c r="R69" s="95">
        <v>1958.5390000000009</v>
      </c>
    </row>
    <row r="70" spans="1:18" ht="15" customHeight="1" x14ac:dyDescent="0.2">
      <c r="A70" s="10">
        <v>44713</v>
      </c>
      <c r="B70" s="90">
        <v>1488.96</v>
      </c>
      <c r="C70" s="95">
        <v>968.20899999999995</v>
      </c>
      <c r="D70" s="90">
        <v>144.89400000000001</v>
      </c>
      <c r="E70" s="90">
        <v>262.19200000000001</v>
      </c>
      <c r="F70" s="95">
        <v>117.62900000000002</v>
      </c>
      <c r="G70" s="95">
        <v>1714.5029999999999</v>
      </c>
      <c r="H70" s="95">
        <v>101.64700000000001</v>
      </c>
      <c r="I70" s="95">
        <v>4350.7389999999996</v>
      </c>
      <c r="J70" s="95">
        <v>1904.7049999999999</v>
      </c>
      <c r="K70" s="95">
        <v>1045.0550000000001</v>
      </c>
      <c r="L70" s="95">
        <v>14.532999999999999</v>
      </c>
      <c r="M70" s="95">
        <v>1.9119999999999999</v>
      </c>
      <c r="N70" s="95">
        <v>1682.31</v>
      </c>
      <c r="O70" s="95">
        <v>642.88199999999995</v>
      </c>
      <c r="P70" s="95">
        <v>19.925000000000001</v>
      </c>
      <c r="Q70" s="95">
        <v>9.8770000000000007</v>
      </c>
      <c r="R70" s="95">
        <v>2766.6889999999999</v>
      </c>
    </row>
    <row r="71" spans="1:18" ht="15" customHeight="1" x14ac:dyDescent="0.2">
      <c r="A71" s="10">
        <v>44743</v>
      </c>
      <c r="B71" s="90">
        <v>1812.7059999999999</v>
      </c>
      <c r="C71" s="95">
        <v>704.70699999999999</v>
      </c>
      <c r="D71" s="90">
        <v>140.60499999999999</v>
      </c>
      <c r="E71" s="90">
        <v>234.73099999999999</v>
      </c>
      <c r="F71" s="95">
        <v>92.497999999999934</v>
      </c>
      <c r="G71" s="95">
        <v>1067.807</v>
      </c>
      <c r="H71" s="95">
        <v>66.293999999999997</v>
      </c>
      <c r="I71" s="95">
        <v>3756.5450000000001</v>
      </c>
      <c r="J71" s="95">
        <v>409.17200000000003</v>
      </c>
      <c r="K71" s="95">
        <v>1311.21</v>
      </c>
      <c r="L71" s="95">
        <v>4.6100000000000003</v>
      </c>
      <c r="M71" s="95">
        <v>1.6379999999999999</v>
      </c>
      <c r="N71" s="95">
        <v>1614.67</v>
      </c>
      <c r="O71" s="95">
        <v>245.69300000000001</v>
      </c>
      <c r="P71" s="95">
        <v>14.242000000000001</v>
      </c>
      <c r="Q71" s="95">
        <v>4.1040000000000001</v>
      </c>
      <c r="R71" s="95">
        <v>2401.050999999999</v>
      </c>
    </row>
    <row r="72" spans="1:18" ht="15" customHeight="1" x14ac:dyDescent="0.2">
      <c r="A72" s="10">
        <v>44774</v>
      </c>
      <c r="B72" s="90">
        <v>2138.8939999999998</v>
      </c>
      <c r="C72" s="95">
        <v>1157.0540000000001</v>
      </c>
      <c r="D72" s="90">
        <v>141.566</v>
      </c>
      <c r="E72" s="90">
        <v>316.95299999999997</v>
      </c>
      <c r="F72" s="95">
        <v>59.451000000000249</v>
      </c>
      <c r="G72" s="95">
        <v>1623.5630000000001</v>
      </c>
      <c r="H72" s="95">
        <v>75.545000000000002</v>
      </c>
      <c r="I72" s="95">
        <v>3502.9780000000001</v>
      </c>
      <c r="J72" s="95">
        <v>459.995</v>
      </c>
      <c r="K72" s="95">
        <v>1346.37</v>
      </c>
      <c r="L72" s="95">
        <v>4.4560000000000004</v>
      </c>
      <c r="M72" s="95">
        <v>2.0089999999999999</v>
      </c>
      <c r="N72" s="95">
        <v>2362.8200000000002</v>
      </c>
      <c r="O72" s="95">
        <v>379.53399999999999</v>
      </c>
      <c r="P72" s="95">
        <v>16.782</v>
      </c>
      <c r="Q72" s="95">
        <v>8.718</v>
      </c>
      <c r="R72" s="95">
        <v>1655.134</v>
      </c>
    </row>
    <row r="73" spans="1:18" ht="15" customHeight="1" x14ac:dyDescent="0.2">
      <c r="A73" s="10">
        <v>44805</v>
      </c>
      <c r="B73" s="90">
        <v>2215.779</v>
      </c>
      <c r="C73" s="95">
        <v>1140.155</v>
      </c>
      <c r="D73" s="90">
        <v>105.63</v>
      </c>
      <c r="E73" s="90">
        <v>357.35199999999998</v>
      </c>
      <c r="F73" s="95">
        <v>98.167999999999893</v>
      </c>
      <c r="G73" s="95">
        <v>1249.28</v>
      </c>
      <c r="H73" s="95">
        <v>75.408000000000001</v>
      </c>
      <c r="I73" s="95">
        <v>3412.1779999999999</v>
      </c>
      <c r="J73" s="95">
        <v>1574.481</v>
      </c>
      <c r="K73" s="95">
        <v>342.12799999999999</v>
      </c>
      <c r="L73" s="95">
        <v>5.5110000000000001</v>
      </c>
      <c r="M73" s="95">
        <v>2.859</v>
      </c>
      <c r="N73" s="95">
        <v>2205.96</v>
      </c>
      <c r="O73" s="95">
        <v>277.27100000000002</v>
      </c>
      <c r="P73" s="95">
        <v>38.887</v>
      </c>
      <c r="Q73" s="95">
        <v>11.048999999999999</v>
      </c>
      <c r="R73" s="95">
        <v>1533.8370000000004</v>
      </c>
    </row>
    <row r="74" spans="1:18" ht="15" customHeight="1" x14ac:dyDescent="0.2">
      <c r="A74" s="10">
        <v>44835</v>
      </c>
      <c r="B74" s="90">
        <v>1943.7650000000001</v>
      </c>
      <c r="C74" s="95">
        <v>992.97900000000004</v>
      </c>
      <c r="D74" s="90">
        <v>58.988999999999997</v>
      </c>
      <c r="E74" s="90">
        <v>363.27699999999999</v>
      </c>
      <c r="F74" s="95">
        <v>112.20099999999968</v>
      </c>
      <c r="G74" s="95">
        <v>1441.0260000000001</v>
      </c>
      <c r="H74" s="95">
        <v>84.119</v>
      </c>
      <c r="I74" s="95">
        <v>3435.252</v>
      </c>
      <c r="J74" s="95">
        <v>2271.8809999999999</v>
      </c>
      <c r="K74" s="95">
        <v>114.101</v>
      </c>
      <c r="L74" s="95">
        <v>2.6059999999999999</v>
      </c>
      <c r="M74" s="95">
        <v>2.601</v>
      </c>
      <c r="N74" s="95">
        <v>1539.5820000000001</v>
      </c>
      <c r="O74" s="95">
        <v>386.899</v>
      </c>
      <c r="P74" s="95">
        <v>7.359</v>
      </c>
      <c r="Q74" s="95">
        <v>2.0409999999999999</v>
      </c>
      <c r="R74" s="95">
        <v>1179.3549999999989</v>
      </c>
    </row>
    <row r="75" spans="1:18" ht="15" customHeight="1" x14ac:dyDescent="0.2">
      <c r="A75" s="10">
        <v>44866</v>
      </c>
      <c r="B75" s="90">
        <v>1581.5</v>
      </c>
      <c r="C75" s="95">
        <v>690.56600000000003</v>
      </c>
      <c r="D75" s="90">
        <v>167.32400000000001</v>
      </c>
      <c r="E75" s="90">
        <v>273.834</v>
      </c>
      <c r="F75" s="95">
        <v>63.594999999999914</v>
      </c>
      <c r="G75" s="95">
        <v>1279.5709999999999</v>
      </c>
      <c r="H75" s="95">
        <v>29.152999999999999</v>
      </c>
      <c r="I75" s="95">
        <v>3011.29</v>
      </c>
      <c r="J75" s="95">
        <v>2832.5650000000001</v>
      </c>
      <c r="K75" s="95">
        <v>0.15</v>
      </c>
      <c r="L75" s="95">
        <v>2.903</v>
      </c>
      <c r="M75" s="95">
        <v>1.069</v>
      </c>
      <c r="N75" s="95">
        <v>954.89499999999998</v>
      </c>
      <c r="O75" s="95">
        <v>358.47800000000001</v>
      </c>
      <c r="P75" s="95">
        <v>15.282</v>
      </c>
      <c r="Q75" s="95">
        <v>5.4109999999999996</v>
      </c>
      <c r="R75" s="95">
        <v>1662.1640000000004</v>
      </c>
    </row>
    <row r="76" spans="1:18" ht="15" customHeight="1" x14ac:dyDescent="0.2">
      <c r="A76" s="10">
        <v>44896</v>
      </c>
      <c r="B76" s="90">
        <v>1643.1559999999999</v>
      </c>
      <c r="C76" s="95">
        <v>779.38</v>
      </c>
      <c r="D76" s="90">
        <v>676.57</v>
      </c>
      <c r="E76" s="90">
        <v>131.83699999999999</v>
      </c>
      <c r="F76" s="95">
        <v>77.930000000000064</v>
      </c>
      <c r="G76" s="95">
        <v>1101.4849999999999</v>
      </c>
      <c r="H76" s="95">
        <v>57.307000000000002</v>
      </c>
      <c r="I76" s="95">
        <v>3182.8420000000001</v>
      </c>
      <c r="J76" s="95">
        <v>3041.3130000000001</v>
      </c>
      <c r="K76" s="95">
        <v>38</v>
      </c>
      <c r="L76" s="95">
        <v>6.3630000000000004</v>
      </c>
      <c r="M76" s="95">
        <v>2.1480000000000001</v>
      </c>
      <c r="N76" s="95">
        <v>2.105</v>
      </c>
      <c r="O76" s="95">
        <v>387.93400000000003</v>
      </c>
      <c r="P76" s="95">
        <v>26.552</v>
      </c>
      <c r="Q76" s="95">
        <v>1.5269999999999999</v>
      </c>
      <c r="R76" s="95">
        <v>2837.9219999999991</v>
      </c>
    </row>
    <row r="77" spans="1:18" ht="15" customHeight="1" x14ac:dyDescent="0.2">
      <c r="A77" s="11">
        <v>44927</v>
      </c>
      <c r="B77" s="91">
        <v>1420.12</v>
      </c>
      <c r="C77" s="97">
        <v>753.26300000000003</v>
      </c>
      <c r="D77" s="91">
        <v>1426.912</v>
      </c>
      <c r="E77" s="91">
        <v>171.89099999999999</v>
      </c>
      <c r="F77" s="97">
        <v>106.64300000000034</v>
      </c>
      <c r="G77" s="97">
        <v>1274.087</v>
      </c>
      <c r="H77" s="97">
        <v>69.710999999999999</v>
      </c>
      <c r="I77" s="97">
        <v>2562.6619999999998</v>
      </c>
      <c r="J77" s="97">
        <v>915.51300000000003</v>
      </c>
      <c r="K77" s="97">
        <v>38.200000000000003</v>
      </c>
      <c r="L77" s="97">
        <v>4.9160000000000004</v>
      </c>
      <c r="M77" s="97">
        <v>1.863</v>
      </c>
      <c r="N77" s="97">
        <v>1.32</v>
      </c>
      <c r="O77" s="97">
        <v>355.98099999999999</v>
      </c>
      <c r="P77" s="97">
        <v>15.611000000000001</v>
      </c>
      <c r="Q77" s="97">
        <v>4.3440000000000003</v>
      </c>
      <c r="R77" s="97">
        <v>2339.2380000000003</v>
      </c>
    </row>
    <row r="78" spans="1:18" ht="15" customHeight="1" x14ac:dyDescent="0.2">
      <c r="A78" s="11">
        <v>44958</v>
      </c>
      <c r="B78" s="91">
        <v>1384.058</v>
      </c>
      <c r="C78" s="97">
        <v>894.83600000000001</v>
      </c>
      <c r="D78" s="91">
        <v>1274.3789999999999</v>
      </c>
      <c r="E78" s="91">
        <v>177.39699999999999</v>
      </c>
      <c r="F78" s="97">
        <v>89.739000000000203</v>
      </c>
      <c r="G78" s="97">
        <v>1068.2370000000001</v>
      </c>
      <c r="H78" s="97">
        <v>31.183</v>
      </c>
      <c r="I78" s="97">
        <v>2747.7739999999999</v>
      </c>
      <c r="J78" s="97">
        <v>576.73599999999999</v>
      </c>
      <c r="K78" s="97">
        <v>57</v>
      </c>
      <c r="L78" s="97">
        <v>4.149</v>
      </c>
      <c r="M78" s="97">
        <v>2.637</v>
      </c>
      <c r="N78" s="97">
        <v>1.49</v>
      </c>
      <c r="O78" s="97">
        <v>330.96</v>
      </c>
      <c r="P78" s="97">
        <v>21.507999999999999</v>
      </c>
      <c r="Q78" s="97">
        <v>3.0760000000000001</v>
      </c>
      <c r="R78" s="97">
        <v>3066.4990000000003</v>
      </c>
    </row>
    <row r="79" spans="1:18" ht="15" customHeight="1" x14ac:dyDescent="0.2">
      <c r="A79" s="11">
        <v>44986</v>
      </c>
      <c r="B79" s="91">
        <v>1568.991</v>
      </c>
      <c r="C79" s="97">
        <v>861.19899999999996</v>
      </c>
      <c r="D79" s="91">
        <v>800.45600000000002</v>
      </c>
      <c r="E79" s="91">
        <v>228.22200000000001</v>
      </c>
      <c r="F79" s="97">
        <v>86.287999999999869</v>
      </c>
      <c r="G79" s="97">
        <v>1261.376</v>
      </c>
      <c r="H79" s="97">
        <v>78.239999999999995</v>
      </c>
      <c r="I79" s="97">
        <v>2971.152</v>
      </c>
      <c r="J79" s="97">
        <v>602.39400000000001</v>
      </c>
      <c r="K79" s="97">
        <v>0.501</v>
      </c>
      <c r="L79" s="97">
        <v>3.879</v>
      </c>
      <c r="M79" s="97">
        <v>0.89900000000000002</v>
      </c>
      <c r="N79" s="97">
        <v>1.5</v>
      </c>
      <c r="O79" s="97">
        <v>342.97899999999998</v>
      </c>
      <c r="P79" s="97">
        <v>7.1749999999999998</v>
      </c>
      <c r="Q79" s="97">
        <v>2.992</v>
      </c>
      <c r="R79" s="97">
        <v>2762.6879999999992</v>
      </c>
    </row>
    <row r="80" spans="1:18" ht="15" customHeight="1" x14ac:dyDescent="0.2">
      <c r="A80" s="11">
        <v>45017</v>
      </c>
      <c r="B80" s="91">
        <v>1137.4739999999999</v>
      </c>
      <c r="C80" s="97">
        <v>380.04700000000003</v>
      </c>
      <c r="D80" s="91">
        <v>387.59399999999999</v>
      </c>
      <c r="E80" s="91">
        <v>181.32599999999999</v>
      </c>
      <c r="F80" s="97">
        <v>93.629000000000218</v>
      </c>
      <c r="G80" s="97">
        <v>907.52499999999998</v>
      </c>
      <c r="H80" s="97">
        <v>97.052999999999997</v>
      </c>
      <c r="I80" s="97">
        <v>2976.7739999999999</v>
      </c>
      <c r="J80" s="97">
        <v>1677.9190000000001</v>
      </c>
      <c r="K80" s="97">
        <v>38.200000000000003</v>
      </c>
      <c r="L80" s="97">
        <v>8.7319999999999993</v>
      </c>
      <c r="M80" s="97">
        <v>0.59099999999999997</v>
      </c>
      <c r="N80" s="97">
        <v>980.91099999999994</v>
      </c>
      <c r="O80" s="97">
        <v>345.26100000000002</v>
      </c>
      <c r="P80" s="97">
        <v>17.510000000000002</v>
      </c>
      <c r="Q80" s="97">
        <v>2.8580000000000001</v>
      </c>
      <c r="R80" s="97">
        <v>2267.6090000000004</v>
      </c>
    </row>
    <row r="81" spans="1:18" ht="15" customHeight="1" x14ac:dyDescent="0.2">
      <c r="A81" s="11">
        <v>45047</v>
      </c>
      <c r="B81" s="91">
        <v>1415.16</v>
      </c>
      <c r="C81" s="97">
        <v>690.33600000000001</v>
      </c>
      <c r="D81" s="91">
        <v>321.04700000000003</v>
      </c>
      <c r="E81" s="91">
        <v>505.05799999999999</v>
      </c>
      <c r="F81" s="97">
        <v>74.769999999999982</v>
      </c>
      <c r="G81" s="97">
        <v>1517.049</v>
      </c>
      <c r="H81" s="97">
        <v>89.463999999999999</v>
      </c>
      <c r="I81" s="97">
        <v>4478.4009999999998</v>
      </c>
      <c r="J81" s="97">
        <v>518.75699999999995</v>
      </c>
      <c r="K81" s="97">
        <v>0</v>
      </c>
      <c r="L81" s="97">
        <v>7.7990000000000004</v>
      </c>
      <c r="M81" s="97">
        <v>2.165</v>
      </c>
      <c r="N81" s="97">
        <v>2459.0990000000002</v>
      </c>
      <c r="O81" s="97">
        <v>321.87900000000002</v>
      </c>
      <c r="P81" s="97">
        <v>26.443000000000001</v>
      </c>
      <c r="Q81" s="97">
        <v>4.734</v>
      </c>
      <c r="R81" s="97">
        <v>2838.5239999999999</v>
      </c>
    </row>
    <row r="82" spans="1:18" ht="15" customHeight="1" x14ac:dyDescent="0.2">
      <c r="A82" s="11">
        <v>45078</v>
      </c>
      <c r="B82" s="91">
        <v>1539.538</v>
      </c>
      <c r="C82" s="97">
        <v>837.70699999999999</v>
      </c>
      <c r="D82" s="91">
        <v>353.12200000000001</v>
      </c>
      <c r="E82" s="91">
        <v>303.24799999999999</v>
      </c>
      <c r="F82" s="97">
        <v>50.299999999999955</v>
      </c>
      <c r="G82" s="97">
        <v>1170.105</v>
      </c>
      <c r="H82" s="97">
        <v>50.427</v>
      </c>
      <c r="I82" s="97">
        <v>3519.636</v>
      </c>
      <c r="J82" s="97">
        <v>1066.4559999999999</v>
      </c>
      <c r="K82" s="97">
        <v>114.06</v>
      </c>
      <c r="L82" s="97">
        <v>7.0620000000000003</v>
      </c>
      <c r="M82" s="97">
        <v>2.407</v>
      </c>
      <c r="N82" s="97">
        <v>1918.105</v>
      </c>
      <c r="O82" s="97">
        <v>244.285</v>
      </c>
      <c r="P82" s="97">
        <v>36.113999999999997</v>
      </c>
      <c r="Q82" s="97">
        <v>2.6</v>
      </c>
      <c r="R82" s="97">
        <v>4788.3410000000003</v>
      </c>
    </row>
    <row r="83" spans="1:18" ht="15" customHeight="1" x14ac:dyDescent="0.2">
      <c r="A83" s="11">
        <v>45108</v>
      </c>
      <c r="B83" s="91">
        <v>1442.2739999999999</v>
      </c>
      <c r="C83" s="97">
        <v>2481.5880000000002</v>
      </c>
      <c r="D83" s="91">
        <v>364.12099999999998</v>
      </c>
      <c r="E83" s="91">
        <v>274.96199999999999</v>
      </c>
      <c r="F83" s="97">
        <v>67.267999999999688</v>
      </c>
      <c r="G83" s="97">
        <v>1207.787</v>
      </c>
      <c r="H83" s="97">
        <v>101.17100000000001</v>
      </c>
      <c r="I83" s="97">
        <v>3435.4540000000002</v>
      </c>
      <c r="J83" s="97">
        <v>3431.87</v>
      </c>
      <c r="K83" s="97">
        <v>1045.886</v>
      </c>
      <c r="L83" s="97">
        <v>7.4109999999999996</v>
      </c>
      <c r="M83" s="97">
        <v>2.2559999999999998</v>
      </c>
      <c r="N83" s="97">
        <v>2286.33</v>
      </c>
      <c r="O83" s="97">
        <v>251.72900000000001</v>
      </c>
      <c r="P83" s="97">
        <v>23.666</v>
      </c>
      <c r="Q83" s="97">
        <v>12.788</v>
      </c>
      <c r="R83" s="97">
        <v>4604.6439999999984</v>
      </c>
    </row>
    <row r="84" spans="1:18" ht="15" customHeight="1" x14ac:dyDescent="0.2">
      <c r="A84" s="11">
        <v>45139</v>
      </c>
      <c r="B84" s="91">
        <v>1803.067</v>
      </c>
      <c r="C84" s="97">
        <v>3169.6790000000001</v>
      </c>
      <c r="D84" s="91">
        <v>244.61099999999999</v>
      </c>
      <c r="E84" s="91">
        <v>327.89100000000002</v>
      </c>
      <c r="F84" s="97">
        <v>107.20199999999971</v>
      </c>
      <c r="G84" s="97">
        <v>1147.6969999999999</v>
      </c>
      <c r="H84" s="97">
        <v>69.47</v>
      </c>
      <c r="I84" s="97">
        <v>3633.17</v>
      </c>
      <c r="J84" s="97">
        <v>4120.4849999999997</v>
      </c>
      <c r="K84" s="97">
        <v>437</v>
      </c>
      <c r="L84" s="97">
        <v>4.1550000000000002</v>
      </c>
      <c r="M84" s="97">
        <v>1.262</v>
      </c>
      <c r="N84" s="97">
        <v>1980.8420000000001</v>
      </c>
      <c r="O84" s="97">
        <v>250.05600000000001</v>
      </c>
      <c r="P84" s="97">
        <v>13.346</v>
      </c>
      <c r="Q84" s="97">
        <v>10.481</v>
      </c>
      <c r="R84" s="97">
        <v>1798.9920000000004</v>
      </c>
    </row>
    <row r="85" spans="1:18" ht="15" customHeight="1" x14ac:dyDescent="0.2">
      <c r="A85" s="11">
        <v>45170</v>
      </c>
      <c r="B85" s="91">
        <v>1823.3789999999999</v>
      </c>
      <c r="C85" s="97">
        <v>2159.3560000000002</v>
      </c>
      <c r="D85" s="91">
        <v>191.36699999999999</v>
      </c>
      <c r="E85" s="91">
        <v>228.251</v>
      </c>
      <c r="F85" s="97">
        <v>103.98899999999955</v>
      </c>
      <c r="G85" s="97">
        <v>1357.973</v>
      </c>
      <c r="H85" s="97">
        <v>61.287999999999997</v>
      </c>
      <c r="I85" s="97">
        <v>3796.43</v>
      </c>
      <c r="J85" s="97">
        <v>1553.204</v>
      </c>
      <c r="K85" s="97">
        <v>285.22899999999998</v>
      </c>
      <c r="L85" s="97">
        <v>7.1559999999999997</v>
      </c>
      <c r="M85" s="97">
        <v>1.466</v>
      </c>
      <c r="N85" s="97">
        <v>2371.2150000000001</v>
      </c>
      <c r="O85" s="97">
        <v>266.61599999999999</v>
      </c>
      <c r="P85" s="97">
        <v>7.9</v>
      </c>
      <c r="Q85" s="97">
        <v>5.109</v>
      </c>
      <c r="R85" s="97">
        <v>2003.8580000000002</v>
      </c>
    </row>
    <row r="86" spans="1:18" ht="15" customHeight="1" x14ac:dyDescent="0.2">
      <c r="A86" s="11">
        <v>45200</v>
      </c>
      <c r="B86" s="91">
        <v>1975.076</v>
      </c>
      <c r="C86" s="97">
        <v>966.423</v>
      </c>
      <c r="D86" s="91">
        <v>218.874</v>
      </c>
      <c r="E86" s="91">
        <v>244.12100000000001</v>
      </c>
      <c r="F86" s="97">
        <v>99.157999999999987</v>
      </c>
      <c r="G86" s="97">
        <v>1746.3889999999999</v>
      </c>
      <c r="H86" s="97">
        <v>69.596000000000004</v>
      </c>
      <c r="I86" s="97">
        <v>4550.826</v>
      </c>
      <c r="J86" s="97">
        <v>1338.79</v>
      </c>
      <c r="K86" s="97">
        <v>133.71799999999999</v>
      </c>
      <c r="L86" s="97">
        <v>7.1929999999999996</v>
      </c>
      <c r="M86" s="97">
        <v>2.5219999999999998</v>
      </c>
      <c r="N86" s="97">
        <v>1497.81</v>
      </c>
      <c r="O86" s="97">
        <v>312.47800000000001</v>
      </c>
      <c r="P86" s="97">
        <v>24.539000000000001</v>
      </c>
      <c r="Q86" s="97">
        <v>13.805999999999999</v>
      </c>
      <c r="R86" s="97">
        <v>2142.2529999999992</v>
      </c>
    </row>
    <row r="87" spans="1:18" ht="15" customHeight="1" x14ac:dyDescent="0.2">
      <c r="A87" s="11">
        <v>45231</v>
      </c>
      <c r="B87" s="91">
        <v>2202.8110000000001</v>
      </c>
      <c r="C87" s="97">
        <v>612.97400000000005</v>
      </c>
      <c r="D87" s="91">
        <v>132.077</v>
      </c>
      <c r="E87" s="91">
        <v>190.17500000000001</v>
      </c>
      <c r="F87" s="97">
        <v>77.592999999999904</v>
      </c>
      <c r="G87" s="97">
        <v>1315.1210000000001</v>
      </c>
      <c r="H87" s="97">
        <v>45.386000000000003</v>
      </c>
      <c r="I87" s="97">
        <v>3929.7080000000001</v>
      </c>
      <c r="J87" s="97">
        <v>1280.2950000000001</v>
      </c>
      <c r="K87" s="97">
        <v>38</v>
      </c>
      <c r="L87" s="97">
        <v>18.334</v>
      </c>
      <c r="M87" s="97">
        <v>3.7029999999999998</v>
      </c>
      <c r="N87" s="97">
        <v>451.93</v>
      </c>
      <c r="O87" s="97">
        <v>273.11500000000001</v>
      </c>
      <c r="P87" s="97">
        <v>5.5720000000000001</v>
      </c>
      <c r="Q87" s="97">
        <v>3.4609999999999999</v>
      </c>
      <c r="R87" s="97">
        <v>1785.05</v>
      </c>
    </row>
    <row r="88" spans="1:18" ht="15" customHeight="1" x14ac:dyDescent="0.2">
      <c r="A88" s="11">
        <v>45261</v>
      </c>
      <c r="B88" s="91">
        <v>2169.7190000000001</v>
      </c>
      <c r="C88" s="97">
        <v>860.51099999999997</v>
      </c>
      <c r="D88" s="91">
        <v>137.56899999999999</v>
      </c>
      <c r="E88" s="91">
        <v>137.21600000000001</v>
      </c>
      <c r="F88" s="97">
        <v>138.48800000000017</v>
      </c>
      <c r="G88" s="97">
        <v>1435.41</v>
      </c>
      <c r="H88" s="97">
        <v>380.86599999999999</v>
      </c>
      <c r="I88" s="97">
        <v>3740.7089999999998</v>
      </c>
      <c r="J88" s="97">
        <v>762.44200000000001</v>
      </c>
      <c r="K88" s="97">
        <v>0.86499999999999999</v>
      </c>
      <c r="L88" s="97">
        <v>3.3460000000000001</v>
      </c>
      <c r="M88" s="97">
        <v>1.8580000000000001</v>
      </c>
      <c r="N88" s="97">
        <v>100.83</v>
      </c>
      <c r="O88" s="97">
        <v>260.56299999999999</v>
      </c>
      <c r="P88" s="97">
        <v>10.034000000000001</v>
      </c>
      <c r="Q88" s="97">
        <v>10.532999999999999</v>
      </c>
      <c r="R88" s="97">
        <v>1885.3560000000002</v>
      </c>
    </row>
    <row r="89" spans="1:18" ht="15" customHeight="1" x14ac:dyDescent="0.2">
      <c r="A89" s="10" t="s">
        <v>347</v>
      </c>
      <c r="B89" s="90">
        <v>1756.2909999999999</v>
      </c>
      <c r="C89" s="95">
        <v>1047.174</v>
      </c>
      <c r="D89" s="90">
        <v>98.457999999999998</v>
      </c>
      <c r="E89" s="90">
        <v>116.203</v>
      </c>
      <c r="F89" s="95">
        <v>37.154000000000281</v>
      </c>
      <c r="G89" s="95">
        <v>1066.549</v>
      </c>
      <c r="H89" s="95">
        <v>80.102999999999994</v>
      </c>
      <c r="I89" s="95">
        <v>3670.1480000000001</v>
      </c>
      <c r="J89" s="95">
        <v>515.91999999999996</v>
      </c>
      <c r="K89" s="95">
        <v>0</v>
      </c>
      <c r="L89" s="95">
        <v>20.175999999999998</v>
      </c>
      <c r="M89" s="95">
        <v>1.454</v>
      </c>
      <c r="N89" s="95">
        <v>458.50400000000002</v>
      </c>
      <c r="O89" s="95">
        <v>225.67500000000001</v>
      </c>
      <c r="P89" s="95">
        <v>30.032</v>
      </c>
      <c r="Q89" s="95">
        <v>4.7439999999999998</v>
      </c>
      <c r="R89" s="95">
        <v>4214.152</v>
      </c>
    </row>
    <row r="90" spans="1:18" ht="15" customHeight="1" x14ac:dyDescent="0.2">
      <c r="A90" s="10" t="s">
        <v>348</v>
      </c>
      <c r="B90" s="90">
        <v>1576.1</v>
      </c>
      <c r="C90" s="95">
        <v>409.84</v>
      </c>
      <c r="D90" s="90">
        <v>139.696</v>
      </c>
      <c r="E90" s="90">
        <v>67.930999999999997</v>
      </c>
      <c r="F90" s="95">
        <v>105.37900000000003</v>
      </c>
      <c r="G90" s="95">
        <v>1141.471</v>
      </c>
      <c r="H90" s="95">
        <v>84.924999999999997</v>
      </c>
      <c r="I90" s="95">
        <v>3865.692</v>
      </c>
      <c r="J90" s="95">
        <v>1265.3679999999999</v>
      </c>
      <c r="K90" s="95">
        <v>0.255</v>
      </c>
      <c r="L90" s="95">
        <v>5.0570000000000004</v>
      </c>
      <c r="M90" s="95">
        <v>2.0299999999999998</v>
      </c>
      <c r="N90" s="95">
        <v>721.89800000000002</v>
      </c>
      <c r="O90" s="95">
        <v>221.16300000000001</v>
      </c>
      <c r="P90" s="95">
        <v>32.584000000000003</v>
      </c>
      <c r="Q90" s="95">
        <v>4.5789999999999997</v>
      </c>
      <c r="R90" s="95">
        <v>3857.072000000001</v>
      </c>
    </row>
    <row r="91" spans="1:18" ht="15" customHeight="1" x14ac:dyDescent="0.2">
      <c r="A91" s="10" t="s">
        <v>349</v>
      </c>
      <c r="B91" s="90">
        <v>1189.1410000000001</v>
      </c>
      <c r="C91" s="95">
        <v>269.322</v>
      </c>
      <c r="D91" s="90">
        <v>89.772999999999996</v>
      </c>
      <c r="E91" s="90">
        <v>135.53</v>
      </c>
      <c r="F91" s="95">
        <v>149.18799999999985</v>
      </c>
      <c r="G91" s="95">
        <v>972.14599999999996</v>
      </c>
      <c r="H91" s="95">
        <v>160.86199999999999</v>
      </c>
      <c r="I91" s="95">
        <v>3945.125</v>
      </c>
      <c r="J91" s="95">
        <v>1384.12</v>
      </c>
      <c r="K91" s="95">
        <v>1.206</v>
      </c>
      <c r="L91" s="95">
        <v>1.8879999999999999</v>
      </c>
      <c r="M91" s="95">
        <v>1.3140000000000001</v>
      </c>
      <c r="N91" s="95">
        <v>1365.33</v>
      </c>
      <c r="O91" s="95">
        <v>163.333</v>
      </c>
      <c r="P91" s="95">
        <v>13.052</v>
      </c>
      <c r="Q91" s="95">
        <v>0.95899999999999996</v>
      </c>
      <c r="R91" s="95">
        <v>4279.3990000000013</v>
      </c>
    </row>
    <row r="92" spans="1:18" ht="15" customHeight="1" x14ac:dyDescent="0.2">
      <c r="A92" s="10" t="s">
        <v>350</v>
      </c>
      <c r="B92" s="90">
        <v>1087.9670000000001</v>
      </c>
      <c r="C92" s="95">
        <v>493.62599999999998</v>
      </c>
      <c r="D92" s="90">
        <v>87.409000000000006</v>
      </c>
      <c r="E92" s="90">
        <v>176.23</v>
      </c>
      <c r="F92" s="95">
        <v>92.903999999999911</v>
      </c>
      <c r="G92" s="95">
        <v>1982.241</v>
      </c>
      <c r="H92" s="95">
        <v>38.154000000000003</v>
      </c>
      <c r="I92" s="95">
        <v>3226.5729999999999</v>
      </c>
      <c r="J92" s="95">
        <v>1286.8920000000001</v>
      </c>
      <c r="K92" s="95">
        <v>0.23100000000000001</v>
      </c>
      <c r="L92" s="95">
        <v>3.883</v>
      </c>
      <c r="M92" s="95">
        <v>0.64300000000000002</v>
      </c>
      <c r="N92" s="95">
        <v>667.4</v>
      </c>
      <c r="O92" s="95">
        <v>298.25700000000001</v>
      </c>
      <c r="P92" s="95">
        <v>28.417000000000002</v>
      </c>
      <c r="Q92" s="95">
        <v>15.813000000000001</v>
      </c>
      <c r="R92" s="95">
        <v>2981.0409999999993</v>
      </c>
    </row>
    <row r="93" spans="1:18" ht="15" customHeight="1" x14ac:dyDescent="0.2">
      <c r="A93" s="10" t="s">
        <v>351</v>
      </c>
      <c r="B93" s="90">
        <v>914.90300000000002</v>
      </c>
      <c r="C93" s="95">
        <v>1696.146</v>
      </c>
      <c r="D93" s="90">
        <v>92.293000000000006</v>
      </c>
      <c r="E93" s="90">
        <v>236.15100000000001</v>
      </c>
      <c r="F93" s="95">
        <v>83.153999999999712</v>
      </c>
      <c r="G93" s="95">
        <v>1373.835</v>
      </c>
      <c r="H93" s="95">
        <v>311.91500000000002</v>
      </c>
      <c r="I93" s="95">
        <v>3225.2449999999999</v>
      </c>
      <c r="J93" s="95">
        <v>1301.4690000000001</v>
      </c>
      <c r="K93" s="95">
        <v>1.1819999999999999</v>
      </c>
      <c r="L93" s="95">
        <v>1.524</v>
      </c>
      <c r="M93" s="95">
        <v>3.13</v>
      </c>
      <c r="N93" s="95">
        <v>1181.5550000000001</v>
      </c>
      <c r="O93" s="95">
        <v>122.312</v>
      </c>
      <c r="P93" s="95">
        <v>10.936999999999999</v>
      </c>
      <c r="Q93" s="95">
        <v>3.8330000000000002</v>
      </c>
      <c r="R93" s="95">
        <v>4477.1659999999993</v>
      </c>
    </row>
    <row r="94" spans="1:18" ht="15" customHeight="1" x14ac:dyDescent="0.2">
      <c r="A94" s="10" t="s">
        <v>352</v>
      </c>
      <c r="B94" s="90">
        <v>1296.32</v>
      </c>
      <c r="C94" s="95">
        <v>4367.2250000000004</v>
      </c>
      <c r="D94" s="90">
        <v>72.043999999999997</v>
      </c>
      <c r="E94" s="90">
        <v>390.64600000000002</v>
      </c>
      <c r="F94" s="95">
        <v>128.20400000000024</v>
      </c>
      <c r="G94" s="95">
        <v>1738.877</v>
      </c>
      <c r="H94" s="95">
        <v>66.747</v>
      </c>
      <c r="I94" s="95">
        <v>3839.7559999999999</v>
      </c>
      <c r="J94" s="95">
        <v>665.84299999999996</v>
      </c>
      <c r="K94" s="95">
        <v>0.126</v>
      </c>
      <c r="L94" s="95">
        <v>17.196000000000002</v>
      </c>
      <c r="M94" s="95">
        <v>1.9970000000000001</v>
      </c>
      <c r="N94" s="95">
        <v>823.87</v>
      </c>
      <c r="O94" s="95">
        <v>235.32499999999999</v>
      </c>
      <c r="P94" s="95">
        <v>28.657</v>
      </c>
      <c r="Q94" s="95">
        <v>10.098000000000001</v>
      </c>
      <c r="R94" s="95">
        <v>3592.4030000000012</v>
      </c>
    </row>
    <row r="95" spans="1:18" ht="15" customHeight="1" x14ac:dyDescent="0.2">
      <c r="A95" s="10" t="s">
        <v>353</v>
      </c>
      <c r="B95" s="90">
        <v>1855.924</v>
      </c>
      <c r="C95" s="95">
        <v>4968.2269999999999</v>
      </c>
      <c r="D95" s="90">
        <v>114.678</v>
      </c>
      <c r="E95" s="90">
        <v>305.81799999999998</v>
      </c>
      <c r="F95" s="95">
        <v>100.19800000000043</v>
      </c>
      <c r="G95" s="95">
        <v>1128.441</v>
      </c>
      <c r="H95" s="95">
        <v>42.622999999999998</v>
      </c>
      <c r="I95" s="95">
        <v>2910.3420000000001</v>
      </c>
      <c r="J95" s="95">
        <v>3908.808</v>
      </c>
      <c r="K95" s="95">
        <v>0.29199999999999998</v>
      </c>
      <c r="L95" s="95">
        <v>3.18</v>
      </c>
      <c r="M95" s="95">
        <v>2.7709999999999999</v>
      </c>
      <c r="N95" s="95">
        <v>721.48</v>
      </c>
      <c r="O95" s="95">
        <v>206.56399999999999</v>
      </c>
      <c r="P95" s="95">
        <v>10.798999999999999</v>
      </c>
      <c r="Q95" s="95">
        <v>12.88</v>
      </c>
      <c r="R95" s="95">
        <v>2445.6820000000002</v>
      </c>
    </row>
    <row r="96" spans="1:18" ht="15" customHeight="1" x14ac:dyDescent="0.2">
      <c r="A96" s="10" t="s">
        <v>354</v>
      </c>
      <c r="B96" s="90">
        <v>1848.8679999999999</v>
      </c>
      <c r="C96" s="95">
        <v>3927.0549999999998</v>
      </c>
      <c r="D96" s="90">
        <v>76.552999999999997</v>
      </c>
      <c r="E96" s="90">
        <v>312.93400000000003</v>
      </c>
      <c r="F96" s="95">
        <v>97.659000000001072</v>
      </c>
      <c r="G96" s="95">
        <v>1200.713</v>
      </c>
      <c r="H96" s="95">
        <v>158.04</v>
      </c>
      <c r="I96" s="95">
        <v>3220.3029999999999</v>
      </c>
      <c r="J96" s="95">
        <v>1242.0740000000001</v>
      </c>
      <c r="K96" s="95">
        <v>1.0209999999999999</v>
      </c>
      <c r="L96" s="95">
        <v>5.883</v>
      </c>
      <c r="M96" s="95">
        <v>2.5219999999999998</v>
      </c>
      <c r="N96" s="95">
        <v>781.44</v>
      </c>
      <c r="O96" s="95">
        <v>126.77200000000001</v>
      </c>
      <c r="P96" s="95">
        <v>21.731000000000002</v>
      </c>
      <c r="Q96" s="95">
        <v>3.6419999999999999</v>
      </c>
      <c r="R96" s="95">
        <v>1814.7060000000001</v>
      </c>
    </row>
    <row r="97" spans="1:18" ht="15" customHeight="1" x14ac:dyDescent="0.2">
      <c r="A97" s="10" t="s">
        <v>355</v>
      </c>
      <c r="B97" s="90">
        <v>1930.78</v>
      </c>
      <c r="C97" s="95">
        <v>3003.6729999999998</v>
      </c>
      <c r="D97" s="90">
        <v>64.811999999999998</v>
      </c>
      <c r="E97" s="90">
        <v>268.87700000000001</v>
      </c>
      <c r="F97" s="95">
        <v>77.310000000000684</v>
      </c>
      <c r="G97" s="95">
        <v>1264.9100000000001</v>
      </c>
      <c r="H97" s="95">
        <v>30.84</v>
      </c>
      <c r="I97" s="95">
        <v>3237.0569999999998</v>
      </c>
      <c r="J97" s="95">
        <v>1759.5029999999999</v>
      </c>
      <c r="K97" s="95">
        <v>57.372</v>
      </c>
      <c r="L97" s="95">
        <v>3.2970000000000002</v>
      </c>
      <c r="M97" s="95">
        <v>0.75700000000000001</v>
      </c>
      <c r="N97" s="95">
        <v>337.53</v>
      </c>
      <c r="O97" s="95">
        <v>124.47199999999999</v>
      </c>
      <c r="P97" s="95">
        <v>37.901000000000003</v>
      </c>
      <c r="Q97" s="95">
        <v>15.746</v>
      </c>
      <c r="R97" s="95">
        <v>2094.5080000000003</v>
      </c>
    </row>
    <row r="98" spans="1:18" ht="15" customHeight="1" x14ac:dyDescent="0.2">
      <c r="A98" s="10" t="s">
        <v>356</v>
      </c>
      <c r="B98" s="90">
        <v>2420.299</v>
      </c>
      <c r="C98" s="95">
        <v>2562.567</v>
      </c>
      <c r="D98" s="90">
        <v>79.584999999999994</v>
      </c>
      <c r="E98" s="90">
        <v>371.48399999999998</v>
      </c>
      <c r="F98" s="95">
        <v>111.49599999999964</v>
      </c>
      <c r="G98" s="95">
        <v>1535.9849999999999</v>
      </c>
      <c r="H98" s="95">
        <v>54.768999999999998</v>
      </c>
      <c r="I98" s="95">
        <v>4201.0240000000003</v>
      </c>
      <c r="J98" s="95">
        <v>1782.8019999999999</v>
      </c>
      <c r="K98" s="95">
        <v>74.286000000000001</v>
      </c>
      <c r="L98" s="95">
        <v>1.954</v>
      </c>
      <c r="M98" s="95">
        <v>1.069</v>
      </c>
      <c r="N98" s="95">
        <v>330.27499999999998</v>
      </c>
      <c r="O98" s="95">
        <v>212.31399999999999</v>
      </c>
      <c r="P98" s="95">
        <v>17.771999999999998</v>
      </c>
      <c r="Q98" s="95">
        <v>7.9740000000000002</v>
      </c>
      <c r="R98" s="95">
        <v>1773.7409999999991</v>
      </c>
    </row>
    <row r="99" spans="1:18" ht="15" customHeight="1" x14ac:dyDescent="0.2">
      <c r="A99" s="10" t="s">
        <v>357</v>
      </c>
      <c r="B99" s="41">
        <v>1993.2</v>
      </c>
      <c r="C99" s="95">
        <v>1463.453</v>
      </c>
      <c r="D99" s="90">
        <v>56.19</v>
      </c>
      <c r="E99" s="90">
        <v>279.745</v>
      </c>
      <c r="F99" s="95">
        <v>107.2680000000002</v>
      </c>
      <c r="G99" s="95">
        <v>1716.491</v>
      </c>
      <c r="H99" s="95">
        <v>73.522000000000006</v>
      </c>
      <c r="I99" s="95">
        <v>3536.8440000000001</v>
      </c>
      <c r="J99" s="95">
        <v>2791.8530000000001</v>
      </c>
      <c r="K99" s="95">
        <v>19.446000000000002</v>
      </c>
      <c r="L99" s="95">
        <v>15.733000000000001</v>
      </c>
      <c r="M99" s="95">
        <v>1.849</v>
      </c>
      <c r="N99" s="95">
        <v>660.25400000000002</v>
      </c>
      <c r="O99" s="95">
        <v>203.17099999999999</v>
      </c>
      <c r="P99" s="95">
        <v>22.024000000000001</v>
      </c>
      <c r="Q99" s="95">
        <v>18.867000000000001</v>
      </c>
      <c r="R99" s="95">
        <v>1960.6719999999993</v>
      </c>
    </row>
    <row r="100" spans="1:18" ht="15" customHeight="1" x14ac:dyDescent="0.2">
      <c r="A100" s="10" t="s">
        <v>358</v>
      </c>
      <c r="B100" s="104">
        <v>1938.75</v>
      </c>
      <c r="C100" s="95">
        <v>2180.0990000000002</v>
      </c>
      <c r="D100" s="90">
        <v>98.912999999999997</v>
      </c>
      <c r="E100" s="90">
        <v>309.7</v>
      </c>
      <c r="F100" s="95">
        <v>102.98899999999986</v>
      </c>
      <c r="G100" s="95">
        <v>2172.7669999999998</v>
      </c>
      <c r="H100" s="95">
        <v>63.896000000000001</v>
      </c>
      <c r="I100" s="95">
        <v>3449.0189999999998</v>
      </c>
      <c r="J100" s="95">
        <v>791.577</v>
      </c>
      <c r="K100" s="95">
        <v>18.052</v>
      </c>
      <c r="L100" s="95">
        <v>19.266999999999999</v>
      </c>
      <c r="M100" s="95">
        <v>1.74</v>
      </c>
      <c r="N100" s="95">
        <v>802.34</v>
      </c>
      <c r="O100" s="95">
        <v>173.78399999999999</v>
      </c>
      <c r="P100" s="95">
        <v>18.358000000000001</v>
      </c>
      <c r="Q100" s="95">
        <v>10.659000000000001</v>
      </c>
      <c r="R100" s="95">
        <v>2934.3479999999995</v>
      </c>
    </row>
    <row r="101" spans="1:18" ht="15" customHeight="1" x14ac:dyDescent="0.2">
      <c r="A101" s="11" t="s">
        <v>296</v>
      </c>
      <c r="B101" s="121">
        <v>1267.201</v>
      </c>
      <c r="C101" s="97">
        <v>1809.421</v>
      </c>
      <c r="D101" s="97">
        <v>393.036</v>
      </c>
      <c r="E101" s="97">
        <v>214.84800000000001</v>
      </c>
      <c r="F101" s="97">
        <v>102.92899999999986</v>
      </c>
      <c r="G101" s="97">
        <v>1149.097</v>
      </c>
      <c r="H101" s="97">
        <v>67.171000000000006</v>
      </c>
      <c r="I101" s="97">
        <v>2654.3850000000002</v>
      </c>
      <c r="J101" s="97">
        <v>1569.7570000000001</v>
      </c>
      <c r="K101" s="97">
        <v>0.30399999999999999</v>
      </c>
      <c r="L101" s="97">
        <v>1.2909999999999999</v>
      </c>
      <c r="M101" s="97">
        <v>7.8479999999999999</v>
      </c>
      <c r="N101" s="97">
        <v>466.279</v>
      </c>
      <c r="O101" s="97">
        <v>126</v>
      </c>
      <c r="P101" s="97">
        <v>24.187000000000001</v>
      </c>
      <c r="Q101" s="97">
        <v>1.1579999999999999</v>
      </c>
      <c r="R101" s="97">
        <v>4556.5649999999996</v>
      </c>
    </row>
    <row r="102" spans="1:18" ht="15" customHeight="1" x14ac:dyDescent="0.2">
      <c r="A102" s="11" t="s">
        <v>297</v>
      </c>
      <c r="B102" s="121">
        <v>1385.2570000000001</v>
      </c>
      <c r="C102" s="97">
        <v>1280.4739999999999</v>
      </c>
      <c r="D102" s="97">
        <v>532.98699999999997</v>
      </c>
      <c r="E102" s="97">
        <v>245.143</v>
      </c>
      <c r="F102" s="97">
        <v>75.474000000000075</v>
      </c>
      <c r="G102" s="97">
        <v>852.88900000000001</v>
      </c>
      <c r="H102" s="97">
        <v>75.33</v>
      </c>
      <c r="I102" s="97">
        <v>2799.953</v>
      </c>
      <c r="J102" s="97">
        <v>2114.6289999999999</v>
      </c>
      <c r="K102" s="97">
        <v>0.26400000000000001</v>
      </c>
      <c r="L102" s="97">
        <v>0.17899999999999999</v>
      </c>
      <c r="M102" s="97">
        <v>1.905</v>
      </c>
      <c r="N102" s="97">
        <v>619.32100000000003</v>
      </c>
      <c r="O102" s="97">
        <v>1.591</v>
      </c>
      <c r="P102" s="97">
        <v>35.201000000000001</v>
      </c>
      <c r="Q102" s="97">
        <v>8.593</v>
      </c>
      <c r="R102" s="97">
        <v>3312.6980000000012</v>
      </c>
    </row>
    <row r="103" spans="1:18" ht="15" customHeight="1" x14ac:dyDescent="0.2">
      <c r="A103" s="11" t="s">
        <v>298</v>
      </c>
      <c r="B103" s="121">
        <v>1493.595</v>
      </c>
      <c r="C103" s="97">
        <v>1735.1869999999999</v>
      </c>
      <c r="D103" s="97">
        <v>597.05399999999997</v>
      </c>
      <c r="E103" s="97">
        <v>130.958</v>
      </c>
      <c r="F103" s="97">
        <v>125.75200000000015</v>
      </c>
      <c r="G103" s="97">
        <v>1011.647</v>
      </c>
      <c r="H103" s="97">
        <v>47.784999999999997</v>
      </c>
      <c r="I103" s="97">
        <v>3152.616</v>
      </c>
      <c r="J103" s="97">
        <v>2439.962</v>
      </c>
      <c r="K103" s="97">
        <v>0.92700000000000005</v>
      </c>
      <c r="L103" s="97">
        <v>1.84</v>
      </c>
      <c r="M103" s="97">
        <v>3.677</v>
      </c>
      <c r="N103" s="97">
        <v>784.17</v>
      </c>
      <c r="O103" s="97">
        <v>48.216000000000001</v>
      </c>
      <c r="P103" s="97">
        <v>22.350999999999999</v>
      </c>
      <c r="Q103" s="97">
        <v>4.3010000000000002</v>
      </c>
      <c r="R103" s="97">
        <v>2776.3519999999999</v>
      </c>
    </row>
    <row r="104" spans="1:18" ht="15" customHeight="1" x14ac:dyDescent="0.2">
      <c r="A104" s="11" t="s">
        <v>299</v>
      </c>
      <c r="B104" s="121">
        <v>808.20100000000002</v>
      </c>
      <c r="C104" s="97">
        <v>1131.4939999999999</v>
      </c>
      <c r="D104" s="97">
        <v>248.76</v>
      </c>
      <c r="E104" s="97">
        <v>146.60900000000001</v>
      </c>
      <c r="F104" s="97">
        <v>100.33499999999995</v>
      </c>
      <c r="G104" s="97">
        <v>2110.6619999999998</v>
      </c>
      <c r="H104" s="97">
        <v>46.137</v>
      </c>
      <c r="I104" s="97">
        <v>3798.5059999999999</v>
      </c>
      <c r="J104" s="97">
        <v>4024.4490000000001</v>
      </c>
      <c r="K104" s="97">
        <v>0.627</v>
      </c>
      <c r="L104" s="97">
        <v>8.8510000000000009</v>
      </c>
      <c r="M104" s="97">
        <v>1.873</v>
      </c>
      <c r="N104" s="97">
        <v>747.39</v>
      </c>
      <c r="O104" s="97">
        <v>726.97500000000002</v>
      </c>
      <c r="P104" s="97">
        <v>10.699</v>
      </c>
      <c r="Q104" s="97">
        <v>7.9509999999999996</v>
      </c>
      <c r="R104" s="97">
        <v>3717.2440000000006</v>
      </c>
    </row>
    <row r="105" spans="1:18" ht="15" customHeight="1" x14ac:dyDescent="0.2">
      <c r="A105" s="11" t="s">
        <v>300</v>
      </c>
      <c r="B105" s="121">
        <v>1257.076</v>
      </c>
      <c r="C105" s="97">
        <v>965.36800000000005</v>
      </c>
      <c r="D105" s="97">
        <v>133.56200000000001</v>
      </c>
      <c r="E105" s="97">
        <v>197.64</v>
      </c>
      <c r="F105" s="97">
        <v>132.92200000000014</v>
      </c>
      <c r="G105" s="97">
        <v>1219.2760000000001</v>
      </c>
      <c r="H105" s="97">
        <v>50.872999999999998</v>
      </c>
      <c r="I105" s="97">
        <v>4118.0749999999998</v>
      </c>
      <c r="J105" s="97">
        <v>2434.2269999999999</v>
      </c>
      <c r="K105" s="97">
        <v>5.0000000000000001E-3</v>
      </c>
      <c r="L105" s="97">
        <v>1.819</v>
      </c>
      <c r="M105" s="97">
        <v>3.2189999999999999</v>
      </c>
      <c r="N105" s="97">
        <v>2278.5149999999999</v>
      </c>
      <c r="O105" s="97">
        <v>89.793000000000006</v>
      </c>
      <c r="P105" s="97">
        <v>20.875</v>
      </c>
      <c r="Q105" s="97">
        <v>2.6139999999999999</v>
      </c>
      <c r="R105" s="97">
        <v>3462.4339999999997</v>
      </c>
    </row>
    <row r="106" spans="1:18" ht="15" customHeight="1" x14ac:dyDescent="0.2">
      <c r="A106" s="11" t="s">
        <v>301</v>
      </c>
      <c r="B106" s="121">
        <v>1438.3710000000001</v>
      </c>
      <c r="C106" s="97">
        <v>1117.8130000000001</v>
      </c>
      <c r="D106" s="97">
        <v>194.602</v>
      </c>
      <c r="E106" s="97">
        <v>199.614</v>
      </c>
      <c r="F106" s="97">
        <v>125.04399999999978</v>
      </c>
      <c r="G106" s="97">
        <v>1622.567</v>
      </c>
      <c r="H106" s="97">
        <v>117.024</v>
      </c>
      <c r="I106" s="97">
        <v>3912.7750000000001</v>
      </c>
      <c r="J106" s="97">
        <v>809.52599999999995</v>
      </c>
      <c r="K106" s="97">
        <v>95.057000000000002</v>
      </c>
      <c r="L106" s="97">
        <v>1.2110000000000001</v>
      </c>
      <c r="M106" s="97">
        <v>1.4930000000000001</v>
      </c>
      <c r="N106" s="97">
        <v>1362.97</v>
      </c>
      <c r="O106" s="97">
        <v>34.607999999999997</v>
      </c>
      <c r="P106" s="97">
        <v>18.541</v>
      </c>
      <c r="Q106" s="97">
        <v>15.054</v>
      </c>
      <c r="R106" s="97">
        <v>5973.2309999999998</v>
      </c>
    </row>
    <row r="107" spans="1:18" ht="15" customHeight="1" x14ac:dyDescent="0.2">
      <c r="A107" s="11" t="s">
        <v>363</v>
      </c>
      <c r="B107" s="121">
        <v>1570.0609999999999</v>
      </c>
      <c r="C107" s="97">
        <v>676.38699999999994</v>
      </c>
      <c r="D107" s="97">
        <v>141.517</v>
      </c>
      <c r="E107" s="97">
        <v>496.11599999999999</v>
      </c>
      <c r="F107" s="97">
        <v>129.40800000000013</v>
      </c>
      <c r="G107" s="97">
        <v>2277.7399999999998</v>
      </c>
      <c r="H107" s="97">
        <v>53.485999999999997</v>
      </c>
      <c r="I107" s="97">
        <v>4458.8459999999995</v>
      </c>
      <c r="J107" s="97">
        <v>896.024</v>
      </c>
      <c r="K107" s="97">
        <v>789.28700000000003</v>
      </c>
      <c r="L107" s="97">
        <v>21.823</v>
      </c>
      <c r="M107" s="97">
        <v>3.649</v>
      </c>
      <c r="N107" s="97">
        <v>915.67</v>
      </c>
      <c r="O107" s="97">
        <v>956.101</v>
      </c>
      <c r="P107" s="97">
        <v>17.882999999999999</v>
      </c>
      <c r="Q107" s="97">
        <v>9.8330000000000002</v>
      </c>
      <c r="R107" s="97">
        <v>4747.8520000000008</v>
      </c>
    </row>
    <row r="108" spans="1:18" ht="15" customHeight="1" x14ac:dyDescent="0.2">
      <c r="A108" s="11" t="s">
        <v>364</v>
      </c>
      <c r="B108" s="121">
        <v>2300.308</v>
      </c>
      <c r="C108" s="97">
        <v>735.36300000000006</v>
      </c>
      <c r="D108" s="97">
        <v>83.495000000000005</v>
      </c>
      <c r="E108" s="97">
        <v>423.35700000000003</v>
      </c>
      <c r="F108" s="97">
        <v>94.541999999999973</v>
      </c>
      <c r="G108" s="97">
        <v>1358.6579999999999</v>
      </c>
      <c r="H108" s="97">
        <v>89.634</v>
      </c>
      <c r="I108" s="97">
        <v>4269.9399999999996</v>
      </c>
      <c r="J108" s="97">
        <v>1137.856</v>
      </c>
      <c r="K108" s="97">
        <v>1447.2059999999999</v>
      </c>
      <c r="L108" s="97">
        <v>5.0640000000000001</v>
      </c>
      <c r="M108" s="97">
        <v>3.4910000000000001</v>
      </c>
      <c r="N108" s="97">
        <v>1695.923</v>
      </c>
      <c r="O108" s="97">
        <v>271.11799999999999</v>
      </c>
      <c r="P108" s="97">
        <v>23.24</v>
      </c>
      <c r="Q108" s="97">
        <v>0.46800000000000003</v>
      </c>
      <c r="R108" s="97">
        <v>3376.6340000000014</v>
      </c>
    </row>
    <row r="109" spans="1:18" ht="15" customHeight="1" x14ac:dyDescent="0.2">
      <c r="A109" s="11" t="s">
        <v>365</v>
      </c>
      <c r="B109" s="121">
        <v>2020.7180000000001</v>
      </c>
      <c r="C109" s="97">
        <v>1232.6859999999999</v>
      </c>
      <c r="D109" s="97">
        <v>102.803</v>
      </c>
      <c r="E109" s="97">
        <v>371.63299999999998</v>
      </c>
      <c r="F109" s="97">
        <v>134.68599999999986</v>
      </c>
      <c r="G109" s="97">
        <v>1987.847</v>
      </c>
      <c r="H109" s="97">
        <v>53.040999999999997</v>
      </c>
      <c r="I109" s="97">
        <v>4044.402</v>
      </c>
      <c r="J109" s="97">
        <v>2312.75</v>
      </c>
      <c r="K109" s="97">
        <v>768.423</v>
      </c>
      <c r="L109" s="97">
        <v>9.7230000000000008</v>
      </c>
      <c r="M109" s="97">
        <v>10.381</v>
      </c>
      <c r="N109" s="97">
        <v>1912.31</v>
      </c>
      <c r="O109" s="97">
        <v>471.10399999999998</v>
      </c>
      <c r="P109" s="97">
        <v>30.113</v>
      </c>
      <c r="Q109" s="97">
        <v>15.266999999999999</v>
      </c>
      <c r="R109" s="97">
        <v>2642.1600000000003</v>
      </c>
    </row>
    <row r="110" spans="1:18" ht="15" customHeight="1" x14ac:dyDescent="0.2">
      <c r="A110" s="11" t="s">
        <v>366</v>
      </c>
      <c r="B110" s="121">
        <v>2128.9520000000002</v>
      </c>
      <c r="C110" s="97">
        <v>800.07</v>
      </c>
      <c r="D110" s="97">
        <v>107.84399999999999</v>
      </c>
      <c r="E110" s="97">
        <v>295.745</v>
      </c>
      <c r="F110" s="97">
        <v>80.077999999999577</v>
      </c>
      <c r="G110" s="97">
        <v>1481.3779999999999</v>
      </c>
      <c r="H110" s="97">
        <v>63.209000000000003</v>
      </c>
      <c r="I110" s="97">
        <v>4113.3909999999996</v>
      </c>
      <c r="J110" s="97">
        <v>6308.0860000000002</v>
      </c>
      <c r="K110" s="97">
        <v>356.69900000000001</v>
      </c>
      <c r="L110" s="97">
        <v>4.09</v>
      </c>
      <c r="M110" s="97">
        <v>10.093999999999999</v>
      </c>
      <c r="N110" s="97">
        <v>1724.73</v>
      </c>
      <c r="O110" s="97">
        <v>211.959</v>
      </c>
      <c r="P110" s="97">
        <v>24.893999999999998</v>
      </c>
      <c r="Q110" s="97">
        <v>11.087</v>
      </c>
      <c r="R110" s="97">
        <v>1771.108999999999</v>
      </c>
    </row>
    <row r="111" spans="1:18" ht="15" customHeight="1" x14ac:dyDescent="0.2">
      <c r="A111" s="11" t="s">
        <v>367</v>
      </c>
      <c r="B111" s="121">
        <v>2037.2449999999999</v>
      </c>
      <c r="C111" s="97">
        <v>822.46699999999998</v>
      </c>
      <c r="D111" s="97">
        <v>140.643</v>
      </c>
      <c r="E111" s="97">
        <v>179.91200000000001</v>
      </c>
      <c r="F111" s="97">
        <v>134.84300000000022</v>
      </c>
      <c r="G111" s="97">
        <v>1394.6679999999999</v>
      </c>
      <c r="H111" s="97">
        <v>92.150999999999996</v>
      </c>
      <c r="I111" s="97">
        <v>3346.047</v>
      </c>
      <c r="J111" s="97">
        <v>1021.546</v>
      </c>
      <c r="K111" s="97">
        <v>432.19</v>
      </c>
      <c r="L111" s="97">
        <v>2.5779999999999998</v>
      </c>
      <c r="M111" s="97">
        <v>49.957000000000001</v>
      </c>
      <c r="N111" s="97">
        <v>2307.06</v>
      </c>
      <c r="O111" s="97">
        <v>171.01599999999999</v>
      </c>
      <c r="P111" s="97">
        <v>19.302</v>
      </c>
      <c r="Q111" s="97">
        <v>2.004</v>
      </c>
      <c r="R111" s="97">
        <v>2062.0859999999989</v>
      </c>
    </row>
    <row r="112" spans="1:18" ht="15" customHeight="1" x14ac:dyDescent="0.2">
      <c r="A112" s="11" t="s">
        <v>368</v>
      </c>
      <c r="B112" s="121">
        <v>2257.6970000000001</v>
      </c>
      <c r="C112" s="97">
        <v>1096.829</v>
      </c>
      <c r="D112" s="97">
        <v>122.188</v>
      </c>
      <c r="E112" s="97">
        <v>140.56100000000001</v>
      </c>
      <c r="F112" s="97">
        <v>149.08999999999972</v>
      </c>
      <c r="G112" s="97">
        <v>1550.463</v>
      </c>
      <c r="H112" s="97">
        <v>76.629000000000005</v>
      </c>
      <c r="I112" s="97">
        <v>3527.6289999999999</v>
      </c>
      <c r="J112" s="97">
        <v>724.77800000000002</v>
      </c>
      <c r="K112" s="97">
        <v>357.86599999999999</v>
      </c>
      <c r="L112" s="97">
        <v>17.556000000000001</v>
      </c>
      <c r="M112" s="97">
        <v>41.584000000000003</v>
      </c>
      <c r="N112" s="97">
        <v>2018.34</v>
      </c>
      <c r="O112" s="97">
        <v>324.375</v>
      </c>
      <c r="P112" s="97">
        <v>23.853000000000002</v>
      </c>
      <c r="Q112" s="97">
        <v>12.362</v>
      </c>
      <c r="R112" s="97">
        <v>989.22699999999986</v>
      </c>
    </row>
    <row r="113" spans="1:18" ht="15" customHeight="1" x14ac:dyDescent="0.2">
      <c r="A113" s="169" t="s">
        <v>376</v>
      </c>
      <c r="B113" s="177">
        <v>1945.085</v>
      </c>
      <c r="C113" s="178">
        <v>938.8</v>
      </c>
      <c r="D113" s="178">
        <v>62.811</v>
      </c>
      <c r="E113" s="178">
        <v>121.34399999999999</v>
      </c>
      <c r="F113" s="178">
        <v>104.44999999999979</v>
      </c>
      <c r="G113" s="178">
        <v>1886.5930000000001</v>
      </c>
      <c r="H113" s="178">
        <v>41.031999999999996</v>
      </c>
      <c r="I113" s="178">
        <v>3654.4119999999998</v>
      </c>
      <c r="J113" s="178">
        <v>1038.808</v>
      </c>
      <c r="K113" s="178">
        <v>279.053</v>
      </c>
      <c r="L113" s="178">
        <v>22.794</v>
      </c>
      <c r="M113" s="178">
        <v>55.514000000000003</v>
      </c>
      <c r="N113" s="178">
        <v>1983.45</v>
      </c>
      <c r="O113" s="178">
        <v>528.18600000000004</v>
      </c>
      <c r="P113" s="178">
        <v>15.417</v>
      </c>
      <c r="Q113" s="178">
        <v>6.3769999999999998</v>
      </c>
      <c r="R113" s="178">
        <v>1814.5070000000001</v>
      </c>
    </row>
    <row r="114" spans="1:18" ht="15" customHeight="1" x14ac:dyDescent="0.2">
      <c r="A114" s="169" t="s">
        <v>378</v>
      </c>
      <c r="B114" s="177">
        <v>1835.89</v>
      </c>
      <c r="C114" s="178">
        <v>1025.528</v>
      </c>
      <c r="D114" s="178">
        <v>148.62299999999999</v>
      </c>
      <c r="E114" s="178">
        <v>129.09700000000001</v>
      </c>
      <c r="F114" s="178">
        <v>103.69599999999971</v>
      </c>
      <c r="G114" s="178">
        <v>680.05399999999997</v>
      </c>
      <c r="H114" s="178">
        <v>50.814999999999998</v>
      </c>
      <c r="I114" s="178">
        <v>3130.5340000000001</v>
      </c>
      <c r="J114" s="178">
        <v>1141.4449999999999</v>
      </c>
      <c r="K114" s="178">
        <v>204.54599999999999</v>
      </c>
      <c r="L114" s="178">
        <v>0.57399999999999995</v>
      </c>
      <c r="M114" s="178">
        <v>2.391</v>
      </c>
      <c r="N114" s="178">
        <v>1443.19</v>
      </c>
      <c r="O114" s="178">
        <v>37.204000000000001</v>
      </c>
      <c r="P114" s="178">
        <v>28.1</v>
      </c>
      <c r="Q114" s="178">
        <v>14.984</v>
      </c>
      <c r="R114" s="178">
        <v>2458.2180000000003</v>
      </c>
    </row>
    <row r="115" spans="1:18" ht="15" customHeight="1" x14ac:dyDescent="0.2">
      <c r="A115" s="169" t="s">
        <v>377</v>
      </c>
      <c r="B115" s="177">
        <v>1561.306</v>
      </c>
      <c r="C115" s="178">
        <v>718.26800000000003</v>
      </c>
      <c r="D115" s="178">
        <v>161.96700000000001</v>
      </c>
      <c r="E115" s="178">
        <v>105.113</v>
      </c>
      <c r="F115" s="178">
        <v>129.32299999999978</v>
      </c>
      <c r="G115" s="178">
        <v>807.12699999999995</v>
      </c>
      <c r="H115" s="178">
        <v>40.192</v>
      </c>
      <c r="I115" s="178">
        <v>1354.7339999999999</v>
      </c>
      <c r="J115" s="178">
        <v>1543.298</v>
      </c>
      <c r="K115" s="178">
        <v>18.271999999999998</v>
      </c>
      <c r="L115" s="178">
        <v>4.4080000000000004</v>
      </c>
      <c r="M115" s="178">
        <v>3.8940000000000001</v>
      </c>
      <c r="N115" s="178">
        <v>1224.787</v>
      </c>
      <c r="O115" s="178">
        <v>186.45400000000001</v>
      </c>
      <c r="P115" s="178">
        <v>24.456</v>
      </c>
      <c r="Q115" s="178">
        <v>22.736000000000001</v>
      </c>
      <c r="R115" s="178">
        <v>1890.2570000000003</v>
      </c>
    </row>
    <row r="116" spans="1:18" ht="15" customHeight="1" x14ac:dyDescent="0.2">
      <c r="A116" s="171" t="s">
        <v>398</v>
      </c>
      <c r="B116" s="179">
        <v>1106.681</v>
      </c>
      <c r="C116" s="180">
        <v>436.97300000000001</v>
      </c>
      <c r="D116" s="180">
        <v>165.38900000000001</v>
      </c>
      <c r="E116" s="180">
        <v>158.928</v>
      </c>
      <c r="F116" s="180">
        <v>85.161999999999978</v>
      </c>
      <c r="G116" s="180">
        <v>1357.8610000000001</v>
      </c>
      <c r="H116" s="180">
        <v>99.230999999999995</v>
      </c>
      <c r="I116" s="180">
        <v>1930.3409999999999</v>
      </c>
      <c r="J116" s="180">
        <v>1774.749</v>
      </c>
      <c r="K116" s="180">
        <v>54.222000000000001</v>
      </c>
      <c r="L116" s="180">
        <v>14.239000000000001</v>
      </c>
      <c r="M116" s="180">
        <v>2.3130000000000002</v>
      </c>
      <c r="N116" s="180">
        <v>1332.09</v>
      </c>
      <c r="O116" s="180">
        <v>551.86500000000001</v>
      </c>
      <c r="P116" s="180">
        <v>21.635000000000002</v>
      </c>
      <c r="Q116" s="180">
        <v>14.821999999999999</v>
      </c>
      <c r="R116" s="180">
        <v>1659.4579999999999</v>
      </c>
    </row>
    <row r="117" spans="1:18" ht="15" customHeight="1" x14ac:dyDescent="0.2">
      <c r="A117" s="19" t="s">
        <v>111</v>
      </c>
      <c r="C117" s="32"/>
      <c r="D117" s="32"/>
      <c r="E117" s="32"/>
      <c r="F117" s="32"/>
      <c r="G117" s="32"/>
      <c r="H117" s="32"/>
      <c r="I117" s="32"/>
      <c r="J117" s="32"/>
      <c r="K117" s="32"/>
      <c r="L117" s="32"/>
      <c r="M117" s="32"/>
      <c r="N117" s="32"/>
      <c r="O117" s="32"/>
      <c r="P117" s="32" t="s">
        <v>248</v>
      </c>
      <c r="Q117" s="32"/>
      <c r="R117" s="189"/>
    </row>
    <row r="118" spans="1:18" ht="15" customHeight="1" x14ac:dyDescent="0.2">
      <c r="C118" s="79"/>
      <c r="D118" s="79"/>
      <c r="E118" s="79"/>
      <c r="F118" s="79"/>
      <c r="G118" s="79"/>
      <c r="H118" s="79"/>
      <c r="I118" s="79"/>
      <c r="J118" s="79"/>
      <c r="K118" s="79"/>
      <c r="L118" s="79"/>
      <c r="M118" s="79"/>
      <c r="N118" s="79"/>
      <c r="O118" s="79"/>
      <c r="P118" s="79"/>
      <c r="Q118" s="79"/>
      <c r="R118" s="79"/>
    </row>
  </sheetData>
  <mergeCells count="6">
    <mergeCell ref="A4:R4"/>
    <mergeCell ref="A6:A7"/>
    <mergeCell ref="B6:F6"/>
    <mergeCell ref="G6:G7"/>
    <mergeCell ref="H6:H7"/>
    <mergeCell ref="I6:R6"/>
  </mergeCells>
  <phoneticPr fontId="19" type="noConversion"/>
  <hyperlinks>
    <hyperlink ref="R2" location="Contents!A1" display="Back to Contents" xr:uid="{79052114-94CD-4A22-AAEE-DBDDF9DECAF8}"/>
  </hyperlinks>
  <printOptions verticalCentered="1"/>
  <pageMargins left="0.23622047244094491" right="0.74803149606299213" top="0.15748031496062992" bottom="0.19685039370078741" header="0.31496062992125984" footer="0.19685039370078741"/>
  <pageSetup paperSize="9" scale="10" orientation="landscape" r:id="rId1"/>
  <headerFooter alignWithMargins="0">
    <oddHeader>&amp;L&amp;"Calibri"&amp;10&amp;K000000 [Limited Sharing]&amp;1#_x000D_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71ADB-3861-4862-8D01-6C295F11A543}">
  <dimension ref="A1:AJ118"/>
  <sheetViews>
    <sheetView workbookViewId="0">
      <selection activeCell="S2" sqref="S2"/>
    </sheetView>
  </sheetViews>
  <sheetFormatPr defaultRowHeight="12.75" x14ac:dyDescent="0.2"/>
  <cols>
    <col min="1" max="1" width="12" style="19" customWidth="1"/>
    <col min="2" max="2" width="11.42578125" style="19" customWidth="1"/>
    <col min="3" max="3" width="12.28515625" style="19" customWidth="1"/>
    <col min="4" max="4" width="12.7109375" style="19" customWidth="1"/>
    <col min="5" max="5" width="10.140625" style="19" customWidth="1"/>
    <col min="6" max="6" width="10.7109375" style="19" customWidth="1"/>
    <col min="7" max="7" width="11.5703125" style="19" customWidth="1"/>
    <col min="8" max="8" width="8" style="19" customWidth="1"/>
    <col min="9" max="9" width="11.5703125" style="19" customWidth="1"/>
    <col min="10" max="10" width="12.28515625" style="19" customWidth="1"/>
    <col min="11" max="13" width="8" style="19" customWidth="1"/>
    <col min="14" max="14" width="11.28515625" style="19" customWidth="1"/>
    <col min="15" max="17" width="8" style="19" customWidth="1"/>
    <col min="18" max="18" width="12.140625" style="19" customWidth="1"/>
    <col min="19" max="19" width="11.7109375" style="19" customWidth="1"/>
    <col min="20" max="20" width="10.5703125" style="19" customWidth="1"/>
    <col min="21" max="21" width="10.140625" style="19" customWidth="1"/>
    <col min="22" max="22" width="8" style="19" customWidth="1"/>
    <col min="23" max="23" width="9.85546875" style="19" customWidth="1"/>
    <col min="24" max="24" width="8" style="19" customWidth="1"/>
    <col min="25" max="25" width="9.5703125" style="19" customWidth="1"/>
    <col min="26" max="29" width="8" style="19" customWidth="1"/>
    <col min="30" max="30" width="11.7109375" style="19" customWidth="1"/>
    <col min="31" max="33" width="8" style="19" customWidth="1"/>
    <col min="34" max="34" width="10.140625" style="19" customWidth="1"/>
    <col min="35" max="35" width="11.140625" style="19" customWidth="1"/>
    <col min="36" max="36" width="8" style="19" customWidth="1"/>
    <col min="37" max="16384" width="9.140625" style="19"/>
  </cols>
  <sheetData>
    <row r="1" spans="1:36" s="16" customFormat="1" ht="15" customHeight="1" x14ac:dyDescent="0.25">
      <c r="A1" s="13" t="s">
        <v>29</v>
      </c>
      <c r="Q1" s="13" t="s">
        <v>117</v>
      </c>
      <c r="S1" s="15" t="s">
        <v>184</v>
      </c>
    </row>
    <row r="2" spans="1:36" s="16" customFormat="1" ht="15" customHeight="1" x14ac:dyDescent="0.25">
      <c r="A2" s="54" t="s">
        <v>286</v>
      </c>
      <c r="Q2" s="13"/>
      <c r="S2" s="17" t="s">
        <v>10</v>
      </c>
    </row>
    <row r="3" spans="1:36" s="16" customFormat="1" ht="15" customHeight="1" x14ac:dyDescent="0.25">
      <c r="A3" s="54"/>
      <c r="Q3" s="13"/>
      <c r="S3" s="17"/>
    </row>
    <row r="4" spans="1:36" s="16" customFormat="1" ht="15" customHeight="1" x14ac:dyDescent="0.3">
      <c r="A4" s="245" t="s">
        <v>185</v>
      </c>
      <c r="B4" s="245"/>
      <c r="C4" s="245"/>
      <c r="D4" s="245"/>
      <c r="E4" s="245"/>
      <c r="F4" s="245"/>
      <c r="G4" s="245"/>
      <c r="H4" s="245"/>
      <c r="I4" s="245"/>
      <c r="J4" s="245"/>
      <c r="K4" s="245"/>
      <c r="L4" s="245"/>
      <c r="M4" s="245"/>
      <c r="N4" s="245"/>
      <c r="O4" s="245"/>
      <c r="P4" s="245"/>
      <c r="Q4" s="245"/>
      <c r="R4" s="245"/>
      <c r="S4" s="245"/>
      <c r="AJ4" s="17"/>
    </row>
    <row r="5" spans="1:36" s="16" customFormat="1" ht="15" customHeight="1" x14ac:dyDescent="0.3">
      <c r="A5" s="89"/>
      <c r="B5" s="89"/>
      <c r="C5" s="89"/>
      <c r="D5" s="89"/>
      <c r="E5" s="89"/>
      <c r="F5" s="89"/>
      <c r="G5" s="89"/>
      <c r="H5" s="89"/>
      <c r="I5" s="89"/>
      <c r="J5" s="89"/>
      <c r="K5" s="89"/>
      <c r="L5" s="89"/>
      <c r="M5" s="89"/>
      <c r="N5" s="89"/>
      <c r="O5" s="89"/>
      <c r="P5" s="89"/>
      <c r="Q5" s="89"/>
      <c r="R5" s="89"/>
      <c r="S5" s="103" t="s">
        <v>161</v>
      </c>
      <c r="T5" s="89"/>
      <c r="U5" s="89"/>
      <c r="V5" s="89"/>
      <c r="W5" s="89"/>
      <c r="X5" s="89"/>
      <c r="Y5" s="89"/>
      <c r="Z5" s="89"/>
      <c r="AA5" s="89"/>
      <c r="AB5" s="89"/>
      <c r="AC5" s="89"/>
      <c r="AD5" s="89"/>
      <c r="AE5" s="89"/>
      <c r="AF5" s="89"/>
      <c r="AG5" s="89"/>
      <c r="AH5" s="89"/>
      <c r="AI5" s="89"/>
      <c r="AJ5" s="89"/>
    </row>
    <row r="6" spans="1:36" s="99" customFormat="1" ht="15" customHeight="1" x14ac:dyDescent="0.2">
      <c r="A6" s="263"/>
      <c r="B6" s="262" t="s">
        <v>162</v>
      </c>
      <c r="C6" s="262"/>
      <c r="D6" s="262"/>
      <c r="E6" s="262"/>
      <c r="F6" s="262"/>
      <c r="G6" s="260" t="s">
        <v>163</v>
      </c>
      <c r="H6" s="261" t="s">
        <v>164</v>
      </c>
      <c r="I6" s="262" t="s">
        <v>165</v>
      </c>
      <c r="J6" s="262"/>
      <c r="K6" s="262"/>
      <c r="L6" s="262"/>
      <c r="M6" s="262"/>
      <c r="N6" s="262"/>
      <c r="O6" s="262"/>
      <c r="P6" s="262"/>
      <c r="Q6" s="262"/>
      <c r="R6" s="262"/>
      <c r="S6" s="260" t="s">
        <v>166</v>
      </c>
    </row>
    <row r="7" spans="1:36" s="99" customFormat="1" ht="80.099999999999994" customHeight="1" x14ac:dyDescent="0.2">
      <c r="A7" s="263"/>
      <c r="B7" s="152" t="s">
        <v>167</v>
      </c>
      <c r="C7" s="152" t="s">
        <v>168</v>
      </c>
      <c r="D7" s="152" t="s">
        <v>169</v>
      </c>
      <c r="E7" s="152" t="s">
        <v>170</v>
      </c>
      <c r="F7" s="152" t="s">
        <v>171</v>
      </c>
      <c r="G7" s="260"/>
      <c r="H7" s="261"/>
      <c r="I7" s="152" t="s">
        <v>172</v>
      </c>
      <c r="J7" s="152" t="s">
        <v>173</v>
      </c>
      <c r="K7" s="152" t="s">
        <v>174</v>
      </c>
      <c r="L7" s="152" t="s">
        <v>175</v>
      </c>
      <c r="M7" s="152" t="s">
        <v>176</v>
      </c>
      <c r="N7" s="152" t="s">
        <v>177</v>
      </c>
      <c r="O7" s="152" t="s">
        <v>178</v>
      </c>
      <c r="P7" s="152" t="s">
        <v>179</v>
      </c>
      <c r="Q7" s="152" t="s">
        <v>180</v>
      </c>
      <c r="R7" s="152" t="s">
        <v>181</v>
      </c>
      <c r="S7" s="260"/>
    </row>
    <row r="8" spans="1:36" ht="15" customHeight="1" x14ac:dyDescent="0.2">
      <c r="A8" s="35" t="s">
        <v>48</v>
      </c>
      <c r="B8" s="90">
        <v>42131.24209</v>
      </c>
      <c r="C8" s="90">
        <v>9682.317516000001</v>
      </c>
      <c r="D8" s="90">
        <v>2996.1489570000003</v>
      </c>
      <c r="E8" s="90">
        <v>5379.3023350000003</v>
      </c>
      <c r="F8" s="90">
        <v>1634.4240819999993</v>
      </c>
      <c r="G8" s="90">
        <v>6772.8848140000009</v>
      </c>
      <c r="H8" s="90">
        <v>4728.7188559999995</v>
      </c>
      <c r="I8" s="90">
        <v>6136.2995069999979</v>
      </c>
      <c r="J8" s="90">
        <v>1666.3502070000002</v>
      </c>
      <c r="K8" s="90">
        <v>2.8907499999999997</v>
      </c>
      <c r="L8" s="90">
        <v>120.956993</v>
      </c>
      <c r="M8" s="90">
        <v>58.663862999999999</v>
      </c>
      <c r="N8" s="90">
        <v>8375.7906159999984</v>
      </c>
      <c r="O8" s="90">
        <v>2942.545811</v>
      </c>
      <c r="P8" s="90">
        <v>877.42938600000002</v>
      </c>
      <c r="Q8" s="90">
        <v>99.707115000000002</v>
      </c>
      <c r="R8" s="90">
        <v>4639.4337610000002</v>
      </c>
      <c r="S8" s="94">
        <v>98245.106658999997</v>
      </c>
    </row>
    <row r="9" spans="1:36" ht="15" customHeight="1" x14ac:dyDescent="0.2">
      <c r="A9" s="34" t="s">
        <v>49</v>
      </c>
      <c r="B9" s="91">
        <v>49892.811149000001</v>
      </c>
      <c r="C9" s="91">
        <v>23678.562388999999</v>
      </c>
      <c r="D9" s="91">
        <v>6980.7739439999987</v>
      </c>
      <c r="E9" s="91">
        <v>7886.1548139999995</v>
      </c>
      <c r="F9" s="91">
        <v>2015.6313539999996</v>
      </c>
      <c r="G9" s="97">
        <v>5684.3348319999986</v>
      </c>
      <c r="H9" s="84">
        <v>6278.3708410000008</v>
      </c>
      <c r="I9" s="91">
        <v>7564.9333299999998</v>
      </c>
      <c r="J9" s="91">
        <v>2073.8065150000002</v>
      </c>
      <c r="K9" s="91">
        <v>734.73714099999995</v>
      </c>
      <c r="L9" s="91">
        <v>67.354870000000005</v>
      </c>
      <c r="M9" s="91">
        <v>62.328138000000003</v>
      </c>
      <c r="N9" s="91">
        <v>8649.9154980000003</v>
      </c>
      <c r="O9" s="91">
        <v>3076.9018019999994</v>
      </c>
      <c r="P9" s="91">
        <v>1102.3759219999999</v>
      </c>
      <c r="Q9" s="91">
        <v>110.449749</v>
      </c>
      <c r="R9" s="91">
        <v>6202.8515129999996</v>
      </c>
      <c r="S9" s="97">
        <v>132062.29380099999</v>
      </c>
    </row>
    <row r="10" spans="1:36" ht="15" customHeight="1" x14ac:dyDescent="0.2">
      <c r="A10" s="35" t="s">
        <v>50</v>
      </c>
      <c r="B10" s="90">
        <v>74818.451796000008</v>
      </c>
      <c r="C10" s="95">
        <v>25155.242562999996</v>
      </c>
      <c r="D10" s="101">
        <v>6708.0511420000003</v>
      </c>
      <c r="E10" s="95">
        <v>11144.459842</v>
      </c>
      <c r="F10" s="95">
        <v>2243.5653250000005</v>
      </c>
      <c r="G10" s="95">
        <v>8728.3740089999992</v>
      </c>
      <c r="H10" s="95">
        <v>7783.6032979999991</v>
      </c>
      <c r="I10" s="95">
        <v>12412.214191000001</v>
      </c>
      <c r="J10" s="101">
        <v>3903.4743570000001</v>
      </c>
      <c r="K10" s="95">
        <v>3518.687289</v>
      </c>
      <c r="L10" s="95">
        <v>38.756502999999995</v>
      </c>
      <c r="M10" s="101">
        <v>97.736705999999998</v>
      </c>
      <c r="N10" s="90">
        <v>21187.344432000002</v>
      </c>
      <c r="O10" s="90">
        <v>5034.5305489999992</v>
      </c>
      <c r="P10" s="95">
        <v>1722.735815</v>
      </c>
      <c r="Q10" s="101">
        <v>275.25431700000001</v>
      </c>
      <c r="R10" s="90">
        <v>11137.426997000002</v>
      </c>
      <c r="S10" s="95">
        <v>195909.90913100002</v>
      </c>
    </row>
    <row r="11" spans="1:36" ht="15" customHeight="1" x14ac:dyDescent="0.2">
      <c r="A11" s="34" t="s">
        <v>51</v>
      </c>
      <c r="B11" s="91">
        <v>69985.858322</v>
      </c>
      <c r="C11" s="97">
        <v>30599.050904999996</v>
      </c>
      <c r="D11" s="97">
        <v>14993.336164999999</v>
      </c>
      <c r="E11" s="97">
        <v>10157.174127000002</v>
      </c>
      <c r="F11" s="97">
        <v>3181.6742209999989</v>
      </c>
      <c r="G11" s="97">
        <v>9065.8480480000017</v>
      </c>
      <c r="H11" s="97">
        <v>9174.5457270000006</v>
      </c>
      <c r="I11" s="97">
        <v>13633.338838</v>
      </c>
      <c r="J11" s="84">
        <v>4182.7874410000004</v>
      </c>
      <c r="K11" s="97">
        <v>1205.947306</v>
      </c>
      <c r="L11" s="97">
        <v>47.472480000000004</v>
      </c>
      <c r="M11" s="97">
        <v>108.62196899999999</v>
      </c>
      <c r="N11" s="97">
        <v>19686.126671999999</v>
      </c>
      <c r="O11" s="97">
        <v>4856.7006260000007</v>
      </c>
      <c r="P11" s="97">
        <v>2568.6411240000007</v>
      </c>
      <c r="Q11" s="97">
        <v>346.73687100000001</v>
      </c>
      <c r="R11" s="84">
        <v>11816.483178</v>
      </c>
      <c r="S11" s="97">
        <v>205610.34401999999</v>
      </c>
    </row>
    <row r="12" spans="1:36" ht="15" customHeight="1" x14ac:dyDescent="0.2">
      <c r="A12" s="35" t="s">
        <v>362</v>
      </c>
      <c r="B12" s="95">
        <v>67953.024159000008</v>
      </c>
      <c r="C12" s="95">
        <v>52912.707561000003</v>
      </c>
      <c r="D12" s="95">
        <v>4002.2196760000006</v>
      </c>
      <c r="E12" s="95">
        <v>8910.5471390000002</v>
      </c>
      <c r="F12" s="95">
        <v>3033.7405540000022</v>
      </c>
      <c r="G12" s="95">
        <v>8594.7847689999999</v>
      </c>
      <c r="H12" s="95">
        <v>7752.7234490000001</v>
      </c>
      <c r="I12" s="95">
        <v>12174.499158000001</v>
      </c>
      <c r="J12" s="101">
        <v>4120.1369249999998</v>
      </c>
      <c r="K12" s="95">
        <v>110.414305</v>
      </c>
      <c r="L12" s="95">
        <v>142.639115</v>
      </c>
      <c r="M12" s="95">
        <v>96.873494000000008</v>
      </c>
      <c r="N12" s="95">
        <v>11598.34928</v>
      </c>
      <c r="O12" s="95">
        <v>2911.4678389999999</v>
      </c>
      <c r="P12" s="95">
        <v>3298.8425769999999</v>
      </c>
      <c r="Q12" s="95">
        <v>328.85348899999997</v>
      </c>
      <c r="R12" s="95">
        <v>11810.057788</v>
      </c>
      <c r="S12" s="133">
        <v>199751.88127700001</v>
      </c>
    </row>
    <row r="13" spans="1:36" ht="15" customHeight="1" x14ac:dyDescent="0.2">
      <c r="A13" s="34" t="s">
        <v>359</v>
      </c>
      <c r="B13" s="97">
        <v>78024.422900000005</v>
      </c>
      <c r="C13" s="97">
        <v>32523.074834999999</v>
      </c>
      <c r="D13" s="97">
        <v>9478.3877329999996</v>
      </c>
      <c r="E13" s="97">
        <v>10384.825917999999</v>
      </c>
      <c r="F13" s="97">
        <v>2967.4629479999962</v>
      </c>
      <c r="G13" s="97">
        <v>10393.655315</v>
      </c>
      <c r="H13" s="97">
        <v>8043.1543270000002</v>
      </c>
      <c r="I13" s="97">
        <v>14682.490853000001</v>
      </c>
      <c r="J13" s="97">
        <v>5287.7495730000001</v>
      </c>
      <c r="K13" s="97">
        <v>1741.628052</v>
      </c>
      <c r="L13" s="97">
        <v>69.843804000000006</v>
      </c>
      <c r="M13" s="97">
        <v>160.00795500000001</v>
      </c>
      <c r="N13" s="97">
        <v>21313.174293</v>
      </c>
      <c r="O13" s="97">
        <v>4222.735541</v>
      </c>
      <c r="P13" s="97">
        <v>3319.9162989999995</v>
      </c>
      <c r="Q13" s="97">
        <v>288.104398</v>
      </c>
      <c r="R13" s="97">
        <v>13912.031332000004</v>
      </c>
      <c r="S13" s="97">
        <v>216812.66607599999</v>
      </c>
    </row>
    <row r="14" spans="1:36" x14ac:dyDescent="0.2">
      <c r="A14" s="96"/>
      <c r="B14" s="132"/>
      <c r="C14" s="132"/>
      <c r="D14" s="132"/>
      <c r="E14" s="132"/>
      <c r="F14" s="132"/>
      <c r="G14" s="132"/>
      <c r="H14" s="132"/>
      <c r="I14" s="132"/>
      <c r="K14" s="96"/>
      <c r="L14" s="132"/>
      <c r="M14" s="132"/>
      <c r="N14" s="132"/>
      <c r="O14" s="132"/>
      <c r="P14" s="132"/>
      <c r="Q14" s="132"/>
      <c r="R14" s="132"/>
      <c r="S14" s="96"/>
    </row>
    <row r="15" spans="1:36" ht="15" customHeight="1" x14ac:dyDescent="0.2">
      <c r="A15" s="9" t="s">
        <v>13</v>
      </c>
      <c r="B15" s="95">
        <v>6543.0318269999998</v>
      </c>
      <c r="C15" s="95">
        <v>857.421964</v>
      </c>
      <c r="D15" s="95">
        <v>843.54256800000007</v>
      </c>
      <c r="E15" s="95">
        <v>654.27553999999998</v>
      </c>
      <c r="F15" s="95">
        <v>411.58957699999974</v>
      </c>
      <c r="G15" s="95">
        <v>1244.1687590000001</v>
      </c>
      <c r="H15" s="95">
        <v>802.67546500000003</v>
      </c>
      <c r="I15" s="95">
        <v>1551.967212</v>
      </c>
      <c r="J15" s="101">
        <v>319.08554600000002</v>
      </c>
      <c r="K15" s="95">
        <v>0.89465899999999998</v>
      </c>
      <c r="L15" s="95">
        <v>41.949666999999998</v>
      </c>
      <c r="M15" s="95">
        <v>7.956124</v>
      </c>
      <c r="N15" s="95">
        <v>2906.880373</v>
      </c>
      <c r="O15" s="95">
        <v>1115.6659220000001</v>
      </c>
      <c r="P15" s="95">
        <v>119.90736999999999</v>
      </c>
      <c r="Q15" s="95">
        <v>17.491276000000003</v>
      </c>
      <c r="R15" s="95">
        <v>1136.8514770000008</v>
      </c>
      <c r="S15" s="133">
        <v>18575.355325999997</v>
      </c>
    </row>
    <row r="16" spans="1:36" ht="15" customHeight="1" x14ac:dyDescent="0.2">
      <c r="A16" s="9" t="s">
        <v>14</v>
      </c>
      <c r="B16" s="95">
        <v>7382.53298</v>
      </c>
      <c r="C16" s="95">
        <v>2146.2477799999997</v>
      </c>
      <c r="D16" s="95">
        <v>639.45189500000004</v>
      </c>
      <c r="E16" s="95">
        <v>1309.09139</v>
      </c>
      <c r="F16" s="95">
        <v>323.88957299999993</v>
      </c>
      <c r="G16" s="95">
        <v>1316.986371</v>
      </c>
      <c r="H16" s="95">
        <v>970.19982800000002</v>
      </c>
      <c r="I16" s="95">
        <v>1516.5433599999999</v>
      </c>
      <c r="J16" s="101">
        <v>411.07082200000002</v>
      </c>
      <c r="K16" s="95">
        <v>3.4335999999999998E-2</v>
      </c>
      <c r="L16" s="95">
        <v>20.840401</v>
      </c>
      <c r="M16" s="95">
        <v>9.0604610000000001</v>
      </c>
      <c r="N16" s="95">
        <v>2443.5107929999999</v>
      </c>
      <c r="O16" s="95">
        <v>403.27307000000002</v>
      </c>
      <c r="P16" s="95">
        <v>163.15117900000001</v>
      </c>
      <c r="Q16" s="95">
        <v>5.6781190000000006</v>
      </c>
      <c r="R16" s="95">
        <v>871.02146599999992</v>
      </c>
      <c r="S16" s="133">
        <v>19932.583824000001</v>
      </c>
    </row>
    <row r="17" spans="1:19" ht="15" customHeight="1" x14ac:dyDescent="0.2">
      <c r="A17" s="9" t="s">
        <v>15</v>
      </c>
      <c r="B17" s="90">
        <v>15655.616237999999</v>
      </c>
      <c r="C17" s="95">
        <v>3233.7338439999999</v>
      </c>
      <c r="D17" s="95">
        <v>825.91811899999993</v>
      </c>
      <c r="E17" s="95">
        <v>1969.7724150000001</v>
      </c>
      <c r="F17" s="95">
        <v>407.19010500000019</v>
      </c>
      <c r="G17" s="95">
        <v>2716.4717579999997</v>
      </c>
      <c r="H17" s="95">
        <v>1875.4527849999999</v>
      </c>
      <c r="I17" s="95">
        <v>1707.816736</v>
      </c>
      <c r="J17" s="101">
        <v>443.16144000000003</v>
      </c>
      <c r="K17" s="95">
        <v>1.0824830000000001</v>
      </c>
      <c r="L17" s="95">
        <v>31.355968999999998</v>
      </c>
      <c r="M17" s="95">
        <v>28.950401999999997</v>
      </c>
      <c r="N17" s="95">
        <v>2866.606679</v>
      </c>
      <c r="O17" s="95">
        <v>754.62876899999992</v>
      </c>
      <c r="P17" s="95">
        <v>311.68050399999998</v>
      </c>
      <c r="Q17" s="95">
        <v>39.164443999999996</v>
      </c>
      <c r="R17" s="95">
        <v>1294.5590670000001</v>
      </c>
      <c r="S17" s="133">
        <v>34163.161756999994</v>
      </c>
    </row>
    <row r="18" spans="1:19" ht="15" customHeight="1" x14ac:dyDescent="0.2">
      <c r="A18" s="9" t="s">
        <v>16</v>
      </c>
      <c r="B18" s="90">
        <v>12550.061045</v>
      </c>
      <c r="C18" s="95">
        <v>3444.9139279999999</v>
      </c>
      <c r="D18" s="95">
        <v>687.23637499999995</v>
      </c>
      <c r="E18" s="95">
        <v>1446.16299</v>
      </c>
      <c r="F18" s="95">
        <v>491.7548269999993</v>
      </c>
      <c r="G18" s="95">
        <v>1495.257926</v>
      </c>
      <c r="H18" s="95">
        <v>1080.390778</v>
      </c>
      <c r="I18" s="95">
        <v>1359.972199</v>
      </c>
      <c r="J18" s="101">
        <v>493.032399</v>
      </c>
      <c r="K18" s="95">
        <v>0.87927200000000005</v>
      </c>
      <c r="L18" s="95">
        <v>26.810956000000001</v>
      </c>
      <c r="M18" s="95">
        <v>12.696876</v>
      </c>
      <c r="N18" s="95">
        <v>158.79277099999999</v>
      </c>
      <c r="O18" s="95">
        <v>668.97805000000005</v>
      </c>
      <c r="P18" s="95">
        <v>282.69033300000001</v>
      </c>
      <c r="Q18" s="95">
        <v>37.373275999999997</v>
      </c>
      <c r="R18" s="95">
        <v>1337.001751</v>
      </c>
      <c r="S18" s="133">
        <v>25574.005752000005</v>
      </c>
    </row>
    <row r="19" spans="1:19" ht="15" customHeight="1" x14ac:dyDescent="0.2">
      <c r="A19" s="8" t="s">
        <v>17</v>
      </c>
      <c r="B19" s="91">
        <v>11592.458449</v>
      </c>
      <c r="C19" s="91">
        <v>5809.8859480000001</v>
      </c>
      <c r="D19" s="97">
        <v>2905.0257620000002</v>
      </c>
      <c r="E19" s="97">
        <v>1248.1480310000002</v>
      </c>
      <c r="F19" s="97">
        <v>487.99222900000046</v>
      </c>
      <c r="G19" s="97">
        <v>1265.922585</v>
      </c>
      <c r="H19" s="84">
        <v>1676.3315299999999</v>
      </c>
      <c r="I19" s="97">
        <v>1639.4313460000001</v>
      </c>
      <c r="J19" s="84">
        <v>457.01726599999995</v>
      </c>
      <c r="K19" s="97">
        <v>2.707846</v>
      </c>
      <c r="L19" s="97">
        <v>32.837091999999998</v>
      </c>
      <c r="M19" s="97">
        <v>13.517555000000002</v>
      </c>
      <c r="N19" s="97">
        <v>1389.890625</v>
      </c>
      <c r="O19" s="97">
        <v>900.79769999999996</v>
      </c>
      <c r="P19" s="97">
        <v>243.317249</v>
      </c>
      <c r="Q19" s="84">
        <v>49.381363</v>
      </c>
      <c r="R19" s="91">
        <v>1469.992381</v>
      </c>
      <c r="S19" s="97">
        <v>31184.654956999999</v>
      </c>
    </row>
    <row r="20" spans="1:19" ht="15" customHeight="1" x14ac:dyDescent="0.2">
      <c r="A20" s="8" t="s">
        <v>18</v>
      </c>
      <c r="B20" s="91">
        <v>8019.1149529999993</v>
      </c>
      <c r="C20" s="91">
        <v>4290.5708210000003</v>
      </c>
      <c r="D20" s="97">
        <v>1897.8203140000001</v>
      </c>
      <c r="E20" s="97">
        <v>1809.7763239999999</v>
      </c>
      <c r="F20" s="97">
        <v>518.46779300000071</v>
      </c>
      <c r="G20" s="97">
        <v>1124.173182</v>
      </c>
      <c r="H20" s="84">
        <v>1498.7688419999999</v>
      </c>
      <c r="I20" s="97">
        <v>1672.2195069999998</v>
      </c>
      <c r="J20" s="84">
        <v>325.15427</v>
      </c>
      <c r="K20" s="91">
        <v>0.44359299999999996</v>
      </c>
      <c r="L20" s="91">
        <v>4.8696780000000004</v>
      </c>
      <c r="M20" s="91">
        <v>10.77163</v>
      </c>
      <c r="N20" s="97">
        <v>1719.158426</v>
      </c>
      <c r="O20" s="84">
        <v>359.69313299999999</v>
      </c>
      <c r="P20" s="91">
        <v>250.70191699999998</v>
      </c>
      <c r="Q20" s="91">
        <v>30.146053000000002</v>
      </c>
      <c r="R20" s="91">
        <v>1294.9195799999993</v>
      </c>
      <c r="S20" s="97">
        <v>24826.770015999999</v>
      </c>
    </row>
    <row r="21" spans="1:19" ht="15" customHeight="1" x14ac:dyDescent="0.2">
      <c r="A21" s="8" t="s">
        <v>19</v>
      </c>
      <c r="B21" s="91">
        <v>15099.706379000001</v>
      </c>
      <c r="C21" s="91">
        <v>5061.1413940000002</v>
      </c>
      <c r="D21" s="97">
        <v>1276.982585</v>
      </c>
      <c r="E21" s="97">
        <v>2780.2734529999998</v>
      </c>
      <c r="F21" s="84">
        <v>433.63429799999886</v>
      </c>
      <c r="G21" s="91">
        <v>1624.7415400000002</v>
      </c>
      <c r="H21" s="91">
        <v>1281.708275</v>
      </c>
      <c r="I21" s="97">
        <v>2094.9822020000001</v>
      </c>
      <c r="J21" s="84">
        <v>546.11324999999999</v>
      </c>
      <c r="K21" s="91">
        <v>400.422708</v>
      </c>
      <c r="L21" s="91">
        <v>13.559661</v>
      </c>
      <c r="M21" s="91">
        <v>16.271443000000001</v>
      </c>
      <c r="N21" s="91">
        <v>3158.3123889999997</v>
      </c>
      <c r="O21" s="91">
        <v>708.81757300000004</v>
      </c>
      <c r="P21" s="91">
        <v>255.83720099999999</v>
      </c>
      <c r="Q21" s="91">
        <v>25.765204000000001</v>
      </c>
      <c r="R21" s="91">
        <v>1628.0991710000003</v>
      </c>
      <c r="S21" s="97">
        <v>36406.368726000001</v>
      </c>
    </row>
    <row r="22" spans="1:19" ht="15" customHeight="1" x14ac:dyDescent="0.2">
      <c r="A22" s="8" t="s">
        <v>20</v>
      </c>
      <c r="B22" s="91">
        <v>15181.531368</v>
      </c>
      <c r="C22" s="91">
        <v>8516.9642260000001</v>
      </c>
      <c r="D22" s="97">
        <v>900.94528300000002</v>
      </c>
      <c r="E22" s="97">
        <v>2047.9570060000001</v>
      </c>
      <c r="F22" s="84">
        <v>575.53703399999961</v>
      </c>
      <c r="G22" s="91">
        <v>1669.497525</v>
      </c>
      <c r="H22" s="91">
        <v>1821.5621939999999</v>
      </c>
      <c r="I22" s="91">
        <v>2158.3002750000001</v>
      </c>
      <c r="J22" s="91">
        <v>745.52172899999994</v>
      </c>
      <c r="K22" s="91">
        <v>331.16299400000003</v>
      </c>
      <c r="L22" s="91">
        <v>16.088439000000001</v>
      </c>
      <c r="M22" s="91">
        <v>21.767509999999998</v>
      </c>
      <c r="N22" s="91">
        <v>2382.5540580000002</v>
      </c>
      <c r="O22" s="91">
        <v>1107.5933960000002</v>
      </c>
      <c r="P22" s="91">
        <v>352.51955499999997</v>
      </c>
      <c r="Q22" s="91">
        <v>5.1571289999999994</v>
      </c>
      <c r="R22" s="91">
        <v>1809.8403810000009</v>
      </c>
      <c r="S22" s="97">
        <v>39644.500102000005</v>
      </c>
    </row>
    <row r="23" spans="1:19" ht="15" customHeight="1" x14ac:dyDescent="0.2">
      <c r="A23" s="9" t="s">
        <v>21</v>
      </c>
      <c r="B23" s="90">
        <v>9859.4601309999998</v>
      </c>
      <c r="C23" s="90">
        <v>5988.0392039999997</v>
      </c>
      <c r="D23" s="90">
        <v>1113.673327</v>
      </c>
      <c r="E23" s="90">
        <v>1101.082163</v>
      </c>
      <c r="F23" s="90">
        <v>398.43255600000055</v>
      </c>
      <c r="G23" s="90">
        <v>1317.8748009999999</v>
      </c>
      <c r="H23" s="90">
        <v>1601.458079</v>
      </c>
      <c r="I23" s="90">
        <v>1685.921685</v>
      </c>
      <c r="J23" s="90">
        <v>563.00736800000004</v>
      </c>
      <c r="K23" s="90">
        <v>414.87571500000001</v>
      </c>
      <c r="L23" s="90">
        <v>6.3832979999999999</v>
      </c>
      <c r="M23" s="90">
        <v>27.209315</v>
      </c>
      <c r="N23" s="90">
        <v>2117.371748</v>
      </c>
      <c r="O23" s="90">
        <v>716.08879000000002</v>
      </c>
      <c r="P23" s="90">
        <v>246.00529300000002</v>
      </c>
      <c r="Q23" s="90">
        <v>11.922808</v>
      </c>
      <c r="R23" s="90">
        <v>1645.8107819999991</v>
      </c>
      <c r="S23" s="95">
        <v>28814.617062999998</v>
      </c>
    </row>
    <row r="24" spans="1:19" ht="15" customHeight="1" x14ac:dyDescent="0.2">
      <c r="A24" s="9" t="s">
        <v>22</v>
      </c>
      <c r="B24" s="90">
        <v>15242.413163000001</v>
      </c>
      <c r="C24" s="90">
        <v>5947.4467070000001</v>
      </c>
      <c r="D24" s="90">
        <v>1556.4267629999999</v>
      </c>
      <c r="E24" s="90">
        <v>2343.5995140000005</v>
      </c>
      <c r="F24" s="90">
        <v>758.96051999999952</v>
      </c>
      <c r="G24" s="90">
        <v>2361.8799899999999</v>
      </c>
      <c r="H24" s="90">
        <v>1299.3118650000001</v>
      </c>
      <c r="I24" s="90">
        <v>2975.6182859999999</v>
      </c>
      <c r="J24" s="90">
        <v>1136.4319399999999</v>
      </c>
      <c r="K24" s="90">
        <v>1438.2232819999999</v>
      </c>
      <c r="L24" s="90">
        <v>10.798030000000001</v>
      </c>
      <c r="M24" s="90">
        <v>19.641924000000003</v>
      </c>
      <c r="N24" s="90">
        <v>7498.9643840000008</v>
      </c>
      <c r="O24" s="90">
        <v>1270.368273</v>
      </c>
      <c r="P24" s="90">
        <v>407.45812100000001</v>
      </c>
      <c r="Q24" s="90">
        <v>89.800202999999996</v>
      </c>
      <c r="R24" s="90">
        <v>2759.1479840000006</v>
      </c>
      <c r="S24" s="95">
        <v>47116.490948999999</v>
      </c>
    </row>
    <row r="25" spans="1:19" ht="15" customHeight="1" x14ac:dyDescent="0.2">
      <c r="A25" s="9" t="s">
        <v>23</v>
      </c>
      <c r="B25" s="90">
        <v>27552.580352999998</v>
      </c>
      <c r="C25" s="90">
        <v>7206.5484629999992</v>
      </c>
      <c r="D25" s="90">
        <v>1413.6693320000002</v>
      </c>
      <c r="E25" s="90">
        <v>4647.240264</v>
      </c>
      <c r="F25" s="90">
        <v>557.15625800000134</v>
      </c>
      <c r="G25" s="90">
        <v>2564.1591060000001</v>
      </c>
      <c r="H25" s="90">
        <v>2488.637569</v>
      </c>
      <c r="I25" s="90">
        <v>3610.3666119999998</v>
      </c>
      <c r="J25" s="90">
        <v>726.54882900000007</v>
      </c>
      <c r="K25" s="90">
        <v>1590.004179</v>
      </c>
      <c r="L25" s="90">
        <v>8.8053619999999988</v>
      </c>
      <c r="M25" s="90">
        <v>21.946534999999997</v>
      </c>
      <c r="N25" s="90">
        <v>8156.9088839999986</v>
      </c>
      <c r="O25" s="90">
        <v>1347.70381</v>
      </c>
      <c r="P25" s="90">
        <v>619.48907499999996</v>
      </c>
      <c r="Q25" s="90">
        <v>125.02099800000002</v>
      </c>
      <c r="R25" s="90">
        <v>3598.4062390000017</v>
      </c>
      <c r="S25" s="95">
        <v>66235.191867999994</v>
      </c>
    </row>
    <row r="26" spans="1:19" ht="15" customHeight="1" x14ac:dyDescent="0.2">
      <c r="A26" s="9" t="s">
        <v>24</v>
      </c>
      <c r="B26" s="90">
        <v>22163.998148999999</v>
      </c>
      <c r="C26" s="90">
        <v>6013.2081889999999</v>
      </c>
      <c r="D26" s="90">
        <v>2624.28172</v>
      </c>
      <c r="E26" s="90">
        <v>3052.5379009999997</v>
      </c>
      <c r="F26" s="90">
        <v>529.01599099999885</v>
      </c>
      <c r="G26" s="90">
        <v>2484.4601120000002</v>
      </c>
      <c r="H26" s="90">
        <v>2394.1957849999999</v>
      </c>
      <c r="I26" s="90">
        <v>4140.3076080000001</v>
      </c>
      <c r="J26" s="90">
        <v>1477.4862199999998</v>
      </c>
      <c r="K26" s="90">
        <v>75.584113000000002</v>
      </c>
      <c r="L26" s="90">
        <v>12.769813000000001</v>
      </c>
      <c r="M26" s="90">
        <v>28.938931999999998</v>
      </c>
      <c r="N26" s="90">
        <v>3414.099416</v>
      </c>
      <c r="O26" s="90">
        <v>1700.3696759999998</v>
      </c>
      <c r="P26" s="90">
        <v>449.78332599999999</v>
      </c>
      <c r="Q26" s="90">
        <v>48.510308000000002</v>
      </c>
      <c r="R26" s="90">
        <v>3134.0619920000004</v>
      </c>
      <c r="S26" s="95">
        <v>53743.609251000002</v>
      </c>
    </row>
    <row r="27" spans="1:19" ht="15" customHeight="1" x14ac:dyDescent="0.2">
      <c r="A27" s="8" t="s">
        <v>25</v>
      </c>
      <c r="B27" s="91">
        <v>17200.523196000002</v>
      </c>
      <c r="C27" s="91">
        <v>5814.9487719999997</v>
      </c>
      <c r="D27" s="91">
        <v>9285.1287040000007</v>
      </c>
      <c r="E27" s="91">
        <v>2504.428774</v>
      </c>
      <c r="F27" s="91">
        <v>591.11740799999893</v>
      </c>
      <c r="G27" s="91">
        <v>2471.8079820000003</v>
      </c>
      <c r="H27" s="91">
        <v>2394.322279</v>
      </c>
      <c r="I27" s="91">
        <v>3566.7209860000003</v>
      </c>
      <c r="J27" s="91">
        <v>711.98313400000006</v>
      </c>
      <c r="K27" s="91">
        <v>50.242716000000001</v>
      </c>
      <c r="L27" s="91">
        <v>5.7518270000000005</v>
      </c>
      <c r="M27" s="91">
        <v>26.302488</v>
      </c>
      <c r="N27" s="91">
        <v>4.7067549999999994</v>
      </c>
      <c r="O27" s="91">
        <v>1519.3177760000001</v>
      </c>
      <c r="P27" s="91">
        <v>582.16514099999995</v>
      </c>
      <c r="Q27" s="91">
        <v>55.928652</v>
      </c>
      <c r="R27" s="91">
        <v>2632.9610140000004</v>
      </c>
      <c r="S27" s="97">
        <v>49418.357604000004</v>
      </c>
    </row>
    <row r="28" spans="1:19" ht="15" customHeight="1" x14ac:dyDescent="0.2">
      <c r="A28" s="8" t="s">
        <v>26</v>
      </c>
      <c r="B28" s="91">
        <v>13843.107237</v>
      </c>
      <c r="C28" s="91">
        <v>3785.5491300000003</v>
      </c>
      <c r="D28" s="91">
        <v>2317.4095509999997</v>
      </c>
      <c r="E28" s="91">
        <v>2926.4913590000001</v>
      </c>
      <c r="F28" s="91">
        <v>483.40896599999962</v>
      </c>
      <c r="G28" s="91">
        <v>2135.7080029999997</v>
      </c>
      <c r="H28" s="91">
        <v>1862.59095</v>
      </c>
      <c r="I28" s="91">
        <v>3398.0074430000004</v>
      </c>
      <c r="J28" s="91">
        <v>738.58468199999993</v>
      </c>
      <c r="K28" s="91">
        <v>79.764669999999995</v>
      </c>
      <c r="L28" s="91">
        <v>9.3463290000000008</v>
      </c>
      <c r="M28" s="91">
        <v>14.176175000000001</v>
      </c>
      <c r="N28" s="91">
        <v>7367.1631030000008</v>
      </c>
      <c r="O28" s="91">
        <v>1183.4513649999999</v>
      </c>
      <c r="P28" s="91">
        <v>1036.9556950000001</v>
      </c>
      <c r="Q28" s="91">
        <v>42.313744</v>
      </c>
      <c r="R28" s="91">
        <v>2907.2468319999998</v>
      </c>
      <c r="S28" s="97">
        <v>44131.275234000001</v>
      </c>
    </row>
    <row r="29" spans="1:19" ht="15" customHeight="1" x14ac:dyDescent="0.2">
      <c r="A29" s="8" t="s">
        <v>27</v>
      </c>
      <c r="B29" s="91">
        <v>17932.627554999999</v>
      </c>
      <c r="C29" s="91">
        <v>15757.594539999998</v>
      </c>
      <c r="D29" s="91">
        <v>1925.7945960000002</v>
      </c>
      <c r="E29" s="91">
        <v>2742.0449980000003</v>
      </c>
      <c r="F29" s="91">
        <v>986.16066400000068</v>
      </c>
      <c r="G29" s="91">
        <v>2096.781516</v>
      </c>
      <c r="H29" s="91">
        <v>2206.6233310000002</v>
      </c>
      <c r="I29" s="91">
        <v>3235.2448949999998</v>
      </c>
      <c r="J29" s="91">
        <v>1764.7909610000002</v>
      </c>
      <c r="K29" s="91">
        <v>977.711276</v>
      </c>
      <c r="L29" s="91">
        <v>11.420264</v>
      </c>
      <c r="M29" s="91">
        <v>18.653651</v>
      </c>
      <c r="N29" s="91">
        <v>9396.8430700000008</v>
      </c>
      <c r="O29" s="91">
        <v>1011.992587</v>
      </c>
      <c r="P29" s="91">
        <v>514.35940400000004</v>
      </c>
      <c r="Q29" s="91">
        <v>144.628692</v>
      </c>
      <c r="R29" s="91">
        <v>3220.081040999999</v>
      </c>
      <c r="S29" s="97">
        <v>63943.353041000002</v>
      </c>
    </row>
    <row r="30" spans="1:19" ht="15" customHeight="1" x14ac:dyDescent="0.2">
      <c r="A30" s="8" t="s">
        <v>28</v>
      </c>
      <c r="B30" s="91">
        <v>21009.600333999999</v>
      </c>
      <c r="C30" s="91">
        <v>5240.9584629999999</v>
      </c>
      <c r="D30" s="91">
        <v>1465.003314</v>
      </c>
      <c r="E30" s="91">
        <v>1984.2089959999998</v>
      </c>
      <c r="F30" s="91">
        <v>1120.987183</v>
      </c>
      <c r="G30" s="91">
        <v>2361.5505469999998</v>
      </c>
      <c r="H30" s="91">
        <v>2711.0091670000002</v>
      </c>
      <c r="I30" s="91">
        <v>3433.3655140000001</v>
      </c>
      <c r="J30" s="91">
        <v>967.42866400000003</v>
      </c>
      <c r="K30" s="91">
        <v>98.228643999999989</v>
      </c>
      <c r="L30" s="91">
        <v>20.954060000000002</v>
      </c>
      <c r="M30" s="91">
        <v>49.489654999999999</v>
      </c>
      <c r="N30" s="91">
        <v>2917.4137440000004</v>
      </c>
      <c r="O30" s="91">
        <v>1141.9388979999999</v>
      </c>
      <c r="P30" s="91">
        <v>435.16088400000001</v>
      </c>
      <c r="Q30" s="91">
        <v>103.86578299999999</v>
      </c>
      <c r="R30" s="91">
        <v>3056.1942910000016</v>
      </c>
      <c r="S30" s="97">
        <v>48117.358141000004</v>
      </c>
    </row>
    <row r="31" spans="1:19" ht="15" customHeight="1" x14ac:dyDescent="0.2">
      <c r="A31" s="9" t="s">
        <v>369</v>
      </c>
      <c r="B31" s="90">
        <v>14234.207398000002</v>
      </c>
      <c r="C31" s="90">
        <v>3625.0508839999998</v>
      </c>
      <c r="D31" s="90">
        <v>943.289941</v>
      </c>
      <c r="E31" s="90">
        <v>1291.9184769999999</v>
      </c>
      <c r="F31" s="90">
        <v>912.10673299999985</v>
      </c>
      <c r="G31" s="90">
        <v>1775.5994689999998</v>
      </c>
      <c r="H31" s="90">
        <v>1799.0436789999999</v>
      </c>
      <c r="I31" s="90">
        <v>3060.1174040000001</v>
      </c>
      <c r="J31" s="90">
        <v>844.14229299999988</v>
      </c>
      <c r="K31" s="90">
        <v>3.5644620000000002</v>
      </c>
      <c r="L31" s="90">
        <v>22.542714</v>
      </c>
      <c r="M31" s="90">
        <v>28.196081</v>
      </c>
      <c r="N31" s="90">
        <v>3468.0888629999999</v>
      </c>
      <c r="O31" s="90">
        <v>795.94667699999991</v>
      </c>
      <c r="P31" s="90">
        <v>1141.874789</v>
      </c>
      <c r="Q31" s="90">
        <v>46.285705999999998</v>
      </c>
      <c r="R31" s="90">
        <v>3136.8473760000006</v>
      </c>
      <c r="S31" s="95">
        <v>37128.822946</v>
      </c>
    </row>
    <row r="32" spans="1:19" ht="15" customHeight="1" x14ac:dyDescent="0.2">
      <c r="A32" s="9" t="s">
        <v>370</v>
      </c>
      <c r="B32" s="90">
        <v>10672.328558000001</v>
      </c>
      <c r="C32" s="90">
        <v>12463.949735</v>
      </c>
      <c r="D32" s="90">
        <v>998.63844199999994</v>
      </c>
      <c r="E32" s="90">
        <v>2256.6761379999998</v>
      </c>
      <c r="F32" s="90">
        <v>802.89376900000184</v>
      </c>
      <c r="G32" s="90">
        <v>2594.1079800000002</v>
      </c>
      <c r="H32" s="90">
        <v>1657.4765080000002</v>
      </c>
      <c r="I32" s="90">
        <v>2818.815302</v>
      </c>
      <c r="J32" s="90">
        <v>864.42812200000003</v>
      </c>
      <c r="K32" s="90">
        <v>4.8206129999999998</v>
      </c>
      <c r="L32" s="90">
        <v>32.694127000000002</v>
      </c>
      <c r="M32" s="90">
        <v>19.188195</v>
      </c>
      <c r="N32" s="90">
        <v>3488.0432880000003</v>
      </c>
      <c r="O32" s="90">
        <v>820.43761599999993</v>
      </c>
      <c r="P32" s="90">
        <v>679.32423500000004</v>
      </c>
      <c r="Q32" s="90">
        <v>90.512920000000008</v>
      </c>
      <c r="R32" s="90">
        <v>3166.9856089999994</v>
      </c>
      <c r="S32" s="95">
        <v>43431.321156999998</v>
      </c>
    </row>
    <row r="33" spans="1:19" ht="15" customHeight="1" x14ac:dyDescent="0.2">
      <c r="A33" s="9" t="s">
        <v>371</v>
      </c>
      <c r="B33" s="90">
        <v>19347.584493000002</v>
      </c>
      <c r="C33" s="90">
        <v>24162.280017000005</v>
      </c>
      <c r="D33" s="90">
        <v>1154.8914440000001</v>
      </c>
      <c r="E33" s="90">
        <v>2703.7170380000002</v>
      </c>
      <c r="F33" s="90">
        <v>732.48826500000041</v>
      </c>
      <c r="G33" s="90">
        <v>1842.2996250000001</v>
      </c>
      <c r="H33" s="90">
        <v>2118.561017</v>
      </c>
      <c r="I33" s="90">
        <v>3138.214802</v>
      </c>
      <c r="J33" s="90">
        <v>1279.984917</v>
      </c>
      <c r="K33" s="90">
        <v>38.826872999999999</v>
      </c>
      <c r="L33" s="90">
        <v>13.188789</v>
      </c>
      <c r="M33" s="90">
        <v>28.073506999999999</v>
      </c>
      <c r="N33" s="90">
        <v>2389.9133160000001</v>
      </c>
      <c r="O33" s="90">
        <v>569.70763899999997</v>
      </c>
      <c r="P33" s="90">
        <v>841.37769300000002</v>
      </c>
      <c r="Q33" s="90">
        <v>92.357900000000001</v>
      </c>
      <c r="R33" s="90">
        <v>2579.2966469999997</v>
      </c>
      <c r="S33" s="95">
        <v>63032.763982000004</v>
      </c>
    </row>
    <row r="34" spans="1:19" ht="15" customHeight="1" x14ac:dyDescent="0.2">
      <c r="A34" s="9" t="s">
        <v>372</v>
      </c>
      <c r="B34" s="90">
        <v>23698.903709999999</v>
      </c>
      <c r="C34" s="90">
        <v>12661.426925</v>
      </c>
      <c r="D34" s="90">
        <v>905.39984900000013</v>
      </c>
      <c r="E34" s="90">
        <v>2658.235486</v>
      </c>
      <c r="F34" s="90">
        <v>586.25178700000049</v>
      </c>
      <c r="G34" s="90">
        <v>2382.7776949999998</v>
      </c>
      <c r="H34" s="90">
        <v>2177.642245</v>
      </c>
      <c r="I34" s="90">
        <v>3157.3516500000001</v>
      </c>
      <c r="J34" s="90">
        <v>1131.5815930000001</v>
      </c>
      <c r="K34" s="90">
        <v>63.202356999999999</v>
      </c>
      <c r="L34" s="90">
        <v>74.213484999999991</v>
      </c>
      <c r="M34" s="90">
        <v>21.415711000000002</v>
      </c>
      <c r="N34" s="90">
        <v>2252.303813</v>
      </c>
      <c r="O34" s="90">
        <v>725.37590699999998</v>
      </c>
      <c r="P34" s="90">
        <v>636.26585999999998</v>
      </c>
      <c r="Q34" s="90">
        <v>99.696963000000011</v>
      </c>
      <c r="R34" s="90">
        <v>2926.9281559999999</v>
      </c>
      <c r="S34" s="95">
        <v>56158.973192000005</v>
      </c>
    </row>
    <row r="35" spans="1:19" ht="15" customHeight="1" x14ac:dyDescent="0.2">
      <c r="A35" s="8" t="s">
        <v>294</v>
      </c>
      <c r="B35" s="91">
        <v>16071.067999000001</v>
      </c>
      <c r="C35" s="91">
        <v>10645.298696</v>
      </c>
      <c r="D35" s="91">
        <v>5085.1804119999997</v>
      </c>
      <c r="E35" s="91">
        <v>2230.5074560000003</v>
      </c>
      <c r="F35" s="91">
        <v>615.36267999999814</v>
      </c>
      <c r="G35" s="91">
        <v>1532.620981</v>
      </c>
      <c r="H35" s="91">
        <v>1519.727799</v>
      </c>
      <c r="I35" s="91">
        <v>2603.8503170000004</v>
      </c>
      <c r="J35" s="91">
        <v>1188.207699</v>
      </c>
      <c r="K35" s="91">
        <v>3.6161669999999999</v>
      </c>
      <c r="L35" s="91">
        <v>4.4568820000000002</v>
      </c>
      <c r="M35" s="91">
        <v>32.866258000000002</v>
      </c>
      <c r="N35" s="91">
        <v>2332.6969550000003</v>
      </c>
      <c r="O35" s="91">
        <v>215.39427799999999</v>
      </c>
      <c r="P35" s="91">
        <v>921.069211</v>
      </c>
      <c r="Q35" s="91">
        <v>44.297715999999994</v>
      </c>
      <c r="R35" s="91">
        <v>2937.2281280000002</v>
      </c>
      <c r="S35" s="97">
        <v>47983.449634000004</v>
      </c>
    </row>
    <row r="36" spans="1:19" ht="15" customHeight="1" x14ac:dyDescent="0.2">
      <c r="A36" s="8" t="s">
        <v>295</v>
      </c>
      <c r="B36" s="91">
        <v>13430.642479999999</v>
      </c>
      <c r="C36" s="91">
        <v>8948.9804260000001</v>
      </c>
      <c r="D36" s="91">
        <v>1995.3756859999999</v>
      </c>
      <c r="E36" s="91">
        <v>1495.2524349999999</v>
      </c>
      <c r="F36" s="91">
        <v>760.2114140000009</v>
      </c>
      <c r="G36" s="91">
        <v>2520.7299669999998</v>
      </c>
      <c r="H36" s="91">
        <v>1706.3620719999999</v>
      </c>
      <c r="I36" s="91">
        <v>3316.516764</v>
      </c>
      <c r="J36" s="91">
        <v>1373.2409259999999</v>
      </c>
      <c r="K36" s="91">
        <v>40.098159000000003</v>
      </c>
      <c r="L36" s="91">
        <v>8.4707119999999989</v>
      </c>
      <c r="M36" s="91">
        <v>25.230159</v>
      </c>
      <c r="N36" s="91">
        <v>5579.738437</v>
      </c>
      <c r="O36" s="91">
        <v>1035.2831390000001</v>
      </c>
      <c r="P36" s="91">
        <v>478.94077600000003</v>
      </c>
      <c r="Q36" s="91">
        <v>62.351044999999999</v>
      </c>
      <c r="R36" s="91">
        <v>3593.9479820000001</v>
      </c>
      <c r="S36" s="97">
        <v>46371.372579000003</v>
      </c>
    </row>
    <row r="37" spans="1:19" ht="15" customHeight="1" x14ac:dyDescent="0.2">
      <c r="A37" s="8" t="s">
        <v>360</v>
      </c>
      <c r="B37" s="91">
        <v>23253.794866</v>
      </c>
      <c r="C37" s="91">
        <v>6447.8539989999999</v>
      </c>
      <c r="D37" s="91">
        <v>1184.1684399999999</v>
      </c>
      <c r="E37" s="91">
        <v>4093.171155</v>
      </c>
      <c r="F37" s="91">
        <v>775.38019899999881</v>
      </c>
      <c r="G37" s="91">
        <v>3885.7433679999999</v>
      </c>
      <c r="H37" s="91">
        <v>2386.9689589999998</v>
      </c>
      <c r="I37" s="91">
        <v>4969.1590669999996</v>
      </c>
      <c r="J37" s="91">
        <v>1149.91245</v>
      </c>
      <c r="K37" s="91">
        <v>1243.326908</v>
      </c>
      <c r="L37" s="91">
        <v>30.157665000000001</v>
      </c>
      <c r="M37" s="91">
        <v>53.827897</v>
      </c>
      <c r="N37" s="91">
        <v>5775.9323629999999</v>
      </c>
      <c r="O37" s="91">
        <v>2091.875814</v>
      </c>
      <c r="P37" s="91">
        <v>1124.6439679999999</v>
      </c>
      <c r="Q37" s="91">
        <v>87.142206000000002</v>
      </c>
      <c r="R37" s="91">
        <v>4634.3249900000028</v>
      </c>
      <c r="S37" s="97">
        <v>63187.384314000003</v>
      </c>
    </row>
    <row r="38" spans="1:19" ht="15" customHeight="1" x14ac:dyDescent="0.2">
      <c r="A38" s="8" t="s">
        <v>361</v>
      </c>
      <c r="B38" s="91">
        <v>25268.917555</v>
      </c>
      <c r="C38" s="91">
        <v>6480.9417140000005</v>
      </c>
      <c r="D38" s="91">
        <v>1213.6631950000001</v>
      </c>
      <c r="E38" s="91">
        <v>2565.8948719999999</v>
      </c>
      <c r="F38" s="91">
        <v>816.50865499999816</v>
      </c>
      <c r="G38" s="91">
        <v>2454.5609989999998</v>
      </c>
      <c r="H38" s="91">
        <v>2430.0954970000003</v>
      </c>
      <c r="I38" s="91">
        <v>3792.9647049999999</v>
      </c>
      <c r="J38" s="91">
        <v>1576.388498</v>
      </c>
      <c r="K38" s="91">
        <v>454.58681799999999</v>
      </c>
      <c r="L38" s="91">
        <v>26.758545000000002</v>
      </c>
      <c r="M38" s="91">
        <v>48.083641</v>
      </c>
      <c r="N38" s="91">
        <v>7624.8065379999998</v>
      </c>
      <c r="O38" s="91">
        <v>880.18230999999992</v>
      </c>
      <c r="P38" s="91">
        <v>795.26234399999998</v>
      </c>
      <c r="Q38" s="91">
        <v>94.313431000000008</v>
      </c>
      <c r="R38" s="91">
        <v>2746.5302320000005</v>
      </c>
      <c r="S38" s="97">
        <v>59270.459548999999</v>
      </c>
    </row>
    <row r="39" spans="1:19" ht="15" customHeight="1" x14ac:dyDescent="0.2">
      <c r="A39" s="173" t="s">
        <v>383</v>
      </c>
      <c r="B39" s="181">
        <v>23474.334848999999</v>
      </c>
      <c r="C39" s="181">
        <v>6908.8879230000002</v>
      </c>
      <c r="D39" s="181">
        <v>1208.6197339999999</v>
      </c>
      <c r="E39" s="181">
        <v>1773.3009200000001</v>
      </c>
      <c r="F39" s="181">
        <v>715.02271999999959</v>
      </c>
      <c r="G39" s="181">
        <v>2269.3741579999996</v>
      </c>
      <c r="H39" s="181">
        <v>2373.2848589999999</v>
      </c>
      <c r="I39" s="181">
        <v>3496.6509070000002</v>
      </c>
      <c r="J39" s="181">
        <v>1120.5633849999999</v>
      </c>
      <c r="K39" s="181">
        <v>208.05321900000001</v>
      </c>
      <c r="L39" s="181">
        <v>27.012119999999999</v>
      </c>
      <c r="M39" s="181">
        <v>35.359369999999998</v>
      </c>
      <c r="N39" s="181">
        <v>5820.5641830000004</v>
      </c>
      <c r="O39" s="181">
        <v>950.48680499999989</v>
      </c>
      <c r="P39" s="181">
        <v>1058.4743209999999</v>
      </c>
      <c r="Q39" s="181">
        <v>163.187817</v>
      </c>
      <c r="R39" s="181">
        <v>2576.0443440000008</v>
      </c>
      <c r="S39" s="178">
        <v>54179.221634000001</v>
      </c>
    </row>
    <row r="40" spans="1:19" ht="15" customHeight="1" x14ac:dyDescent="0.2">
      <c r="A40" s="8"/>
      <c r="B40" s="91"/>
      <c r="C40" s="91"/>
      <c r="D40" s="91"/>
      <c r="E40" s="91"/>
      <c r="F40" s="91"/>
      <c r="G40" s="91"/>
      <c r="H40" s="91"/>
      <c r="I40" s="91"/>
      <c r="J40" s="91"/>
      <c r="K40" s="91"/>
      <c r="L40" s="91"/>
      <c r="M40" s="91"/>
      <c r="N40" s="91"/>
      <c r="O40" s="91"/>
      <c r="P40" s="91"/>
      <c r="Q40" s="91"/>
      <c r="R40" s="91"/>
      <c r="S40" s="97"/>
    </row>
    <row r="41" spans="1:19" ht="15" customHeight="1" x14ac:dyDescent="0.2">
      <c r="A41" s="10">
        <v>43831</v>
      </c>
      <c r="B41" s="90">
        <v>2489.4813640000002</v>
      </c>
      <c r="C41" s="95">
        <v>332.248062</v>
      </c>
      <c r="D41" s="90">
        <v>251.46915200000001</v>
      </c>
      <c r="E41" s="90">
        <v>290.70756699999998</v>
      </c>
      <c r="F41" s="95">
        <v>169.76590399999958</v>
      </c>
      <c r="G41" s="95">
        <v>479.25735700000001</v>
      </c>
      <c r="H41" s="101">
        <v>295.83531699999997</v>
      </c>
      <c r="I41" s="95">
        <v>630.547009</v>
      </c>
      <c r="J41" s="95">
        <v>76.295074999999997</v>
      </c>
      <c r="K41" s="95">
        <v>0.40552500000000002</v>
      </c>
      <c r="L41" s="95">
        <v>14.394791</v>
      </c>
      <c r="M41" s="95">
        <v>3.8300329999999998</v>
      </c>
      <c r="N41" s="95">
        <v>981.20572000000004</v>
      </c>
      <c r="O41" s="95">
        <v>447.51158600000002</v>
      </c>
      <c r="P41" s="95">
        <v>37.527782999999999</v>
      </c>
      <c r="Q41" s="95">
        <v>6.5043220000000002</v>
      </c>
      <c r="R41" s="95">
        <v>403.8640950000003</v>
      </c>
      <c r="S41" s="95">
        <v>6910.8506619999989</v>
      </c>
    </row>
    <row r="42" spans="1:19" ht="15" customHeight="1" x14ac:dyDescent="0.2">
      <c r="A42" s="10">
        <v>43862</v>
      </c>
      <c r="B42" s="90">
        <v>2364.3540410000001</v>
      </c>
      <c r="C42" s="95">
        <v>348.45122300000003</v>
      </c>
      <c r="D42" s="90">
        <v>363.37368400000003</v>
      </c>
      <c r="E42" s="90">
        <v>157.321898</v>
      </c>
      <c r="F42" s="95">
        <v>153.41128499999994</v>
      </c>
      <c r="G42" s="95">
        <v>430.08416399999999</v>
      </c>
      <c r="H42" s="101">
        <v>313.50849199999999</v>
      </c>
      <c r="I42" s="95">
        <v>525.57534799999996</v>
      </c>
      <c r="J42" s="95">
        <v>165.466342</v>
      </c>
      <c r="K42" s="95">
        <v>0.32413799999999998</v>
      </c>
      <c r="L42" s="95">
        <v>16.026254999999999</v>
      </c>
      <c r="M42" s="95">
        <v>1.586746</v>
      </c>
      <c r="N42" s="95">
        <v>1118.0252829999999</v>
      </c>
      <c r="O42" s="95">
        <v>374.67684500000001</v>
      </c>
      <c r="P42" s="95">
        <v>41.783222000000002</v>
      </c>
      <c r="Q42" s="95">
        <v>9.8336439999999996</v>
      </c>
      <c r="R42" s="95">
        <v>412.32407000000035</v>
      </c>
      <c r="S42" s="95">
        <v>6796.1266799999994</v>
      </c>
    </row>
    <row r="43" spans="1:19" ht="15" customHeight="1" x14ac:dyDescent="0.2">
      <c r="A43" s="10">
        <v>43891</v>
      </c>
      <c r="B43" s="90">
        <v>1689.196422</v>
      </c>
      <c r="C43" s="95">
        <v>176.722679</v>
      </c>
      <c r="D43" s="90">
        <v>228.69973200000001</v>
      </c>
      <c r="E43" s="90">
        <v>206.24607499999999</v>
      </c>
      <c r="F43" s="95">
        <v>88.41238800000022</v>
      </c>
      <c r="G43" s="95">
        <v>334.82723800000002</v>
      </c>
      <c r="H43" s="101">
        <v>193.33165600000001</v>
      </c>
      <c r="I43" s="95">
        <v>395.844855</v>
      </c>
      <c r="J43" s="95">
        <v>77.324128999999999</v>
      </c>
      <c r="K43" s="95">
        <v>0.164996</v>
      </c>
      <c r="L43" s="95">
        <v>11.528620999999999</v>
      </c>
      <c r="M43" s="95">
        <v>2.539345</v>
      </c>
      <c r="N43" s="95">
        <v>807.64936999999998</v>
      </c>
      <c r="O43" s="95">
        <v>293.47749099999999</v>
      </c>
      <c r="P43" s="95">
        <v>40.596364999999999</v>
      </c>
      <c r="Q43" s="95">
        <v>1.1533100000000001</v>
      </c>
      <c r="R43" s="95">
        <v>320.66331200000019</v>
      </c>
      <c r="S43" s="95">
        <v>4868.3779839999997</v>
      </c>
    </row>
    <row r="44" spans="1:19" ht="15" customHeight="1" x14ac:dyDescent="0.2">
      <c r="A44" s="10">
        <v>43922</v>
      </c>
      <c r="B44" s="90">
        <v>1796.50317</v>
      </c>
      <c r="C44" s="95">
        <v>166.23896300000001</v>
      </c>
      <c r="D44" s="90">
        <v>117.040235</v>
      </c>
      <c r="E44" s="90">
        <v>209.224716</v>
      </c>
      <c r="F44" s="95">
        <v>36.192074999999818</v>
      </c>
      <c r="G44" s="95">
        <v>238.907703</v>
      </c>
      <c r="H44" s="101">
        <v>310.46335199999999</v>
      </c>
      <c r="I44" s="95">
        <v>406.22411199999999</v>
      </c>
      <c r="J44" s="95">
        <v>95.855361000000002</v>
      </c>
      <c r="K44" s="95">
        <v>0</v>
      </c>
      <c r="L44" s="95">
        <v>4.3232189999999999</v>
      </c>
      <c r="M44" s="95">
        <v>0.94255699999999998</v>
      </c>
      <c r="N44" s="95">
        <v>234.617546</v>
      </c>
      <c r="O44" s="95">
        <v>70.609554000000003</v>
      </c>
      <c r="P44" s="95">
        <v>23.32105</v>
      </c>
      <c r="Q44" s="95">
        <v>1.747546</v>
      </c>
      <c r="R44" s="95">
        <v>115.535107</v>
      </c>
      <c r="S44" s="95">
        <v>3827.7462659999992</v>
      </c>
    </row>
    <row r="45" spans="1:19" ht="15" customHeight="1" x14ac:dyDescent="0.2">
      <c r="A45" s="10">
        <v>43952</v>
      </c>
      <c r="B45" s="90">
        <v>2041.888046</v>
      </c>
      <c r="C45" s="95">
        <v>707.650576</v>
      </c>
      <c r="D45" s="90">
        <v>332.49386600000003</v>
      </c>
      <c r="E45" s="90">
        <v>417.46929499999999</v>
      </c>
      <c r="F45" s="95">
        <v>120.22153399999991</v>
      </c>
      <c r="G45" s="95">
        <v>352.14244400000001</v>
      </c>
      <c r="H45" s="101">
        <v>414.88485500000002</v>
      </c>
      <c r="I45" s="95">
        <v>498.81631299999998</v>
      </c>
      <c r="J45" s="95">
        <v>158.82381100000001</v>
      </c>
      <c r="K45" s="95">
        <v>5.1339999999999997E-3</v>
      </c>
      <c r="L45" s="95">
        <v>5.5776469999999998</v>
      </c>
      <c r="M45" s="95">
        <v>2.1395080000000002</v>
      </c>
      <c r="N45" s="95">
        <v>787.40402099999994</v>
      </c>
      <c r="O45" s="95">
        <v>89.452714</v>
      </c>
      <c r="P45" s="95">
        <v>48.446584000000001</v>
      </c>
      <c r="Q45" s="95">
        <v>2.6026880000000001</v>
      </c>
      <c r="R45" s="95">
        <v>317.23269899999997</v>
      </c>
      <c r="S45" s="95">
        <v>6297.2517349999998</v>
      </c>
    </row>
    <row r="46" spans="1:19" ht="15" customHeight="1" x14ac:dyDescent="0.2">
      <c r="A46" s="10">
        <v>43983</v>
      </c>
      <c r="B46" s="90">
        <v>3544.141764</v>
      </c>
      <c r="C46" s="95">
        <v>1272.3582409999999</v>
      </c>
      <c r="D46" s="90">
        <v>189.91779399999999</v>
      </c>
      <c r="E46" s="90">
        <v>682.397379</v>
      </c>
      <c r="F46" s="95">
        <v>167.4759640000002</v>
      </c>
      <c r="G46" s="95">
        <v>725.93622400000004</v>
      </c>
      <c r="H46" s="101">
        <v>244.85162099999999</v>
      </c>
      <c r="I46" s="95">
        <v>611.50293499999998</v>
      </c>
      <c r="J46" s="95">
        <v>156.39165</v>
      </c>
      <c r="K46" s="95">
        <v>2.9201999999999999E-2</v>
      </c>
      <c r="L46" s="95">
        <v>10.939534999999999</v>
      </c>
      <c r="M46" s="95">
        <v>5.978396</v>
      </c>
      <c r="N46" s="95">
        <v>1421.4892259999999</v>
      </c>
      <c r="O46" s="95">
        <v>243.210802</v>
      </c>
      <c r="P46" s="95">
        <v>91.383544999999998</v>
      </c>
      <c r="Q46" s="95">
        <v>1.327885</v>
      </c>
      <c r="R46" s="95">
        <v>438.25365999999991</v>
      </c>
      <c r="S46" s="95">
        <v>9807.5858229999994</v>
      </c>
    </row>
    <row r="47" spans="1:19" ht="15" customHeight="1" x14ac:dyDescent="0.2">
      <c r="A47" s="10">
        <v>44013</v>
      </c>
      <c r="B47" s="90">
        <v>4800.108655</v>
      </c>
      <c r="C47" s="95">
        <v>1339.5296579999999</v>
      </c>
      <c r="D47" s="90">
        <v>389.84129200000001</v>
      </c>
      <c r="E47" s="90">
        <v>941.37276999999995</v>
      </c>
      <c r="F47" s="95">
        <v>137.33775399999968</v>
      </c>
      <c r="G47" s="95">
        <v>1327.8770589999999</v>
      </c>
      <c r="H47" s="101">
        <v>461.91514899999999</v>
      </c>
      <c r="I47" s="95">
        <v>619.54685199999994</v>
      </c>
      <c r="J47" s="95">
        <v>143.34643600000001</v>
      </c>
      <c r="K47" s="95">
        <v>0.91109499999999999</v>
      </c>
      <c r="L47" s="95">
        <v>8.4553849999999997</v>
      </c>
      <c r="M47" s="95">
        <v>15.084565</v>
      </c>
      <c r="N47" s="95">
        <v>1558.5218339999999</v>
      </c>
      <c r="O47" s="95">
        <v>212.73819900000001</v>
      </c>
      <c r="P47" s="95">
        <v>127.81931899999999</v>
      </c>
      <c r="Q47" s="95">
        <v>27.383395</v>
      </c>
      <c r="R47" s="95">
        <v>536.07765600000016</v>
      </c>
      <c r="S47" s="95">
        <v>12647.867072999999</v>
      </c>
    </row>
    <row r="48" spans="1:19" ht="15" customHeight="1" x14ac:dyDescent="0.2">
      <c r="A48" s="10">
        <v>44044</v>
      </c>
      <c r="B48" s="90">
        <v>5580.1780639999997</v>
      </c>
      <c r="C48" s="95">
        <v>837.66615899999999</v>
      </c>
      <c r="D48" s="90">
        <v>254.04294200000001</v>
      </c>
      <c r="E48" s="90">
        <v>561.37733100000003</v>
      </c>
      <c r="F48" s="95">
        <v>111.91760200000044</v>
      </c>
      <c r="G48" s="95">
        <v>955.67923299999995</v>
      </c>
      <c r="H48" s="101">
        <v>910.24278400000003</v>
      </c>
      <c r="I48" s="95">
        <v>537.01297499999998</v>
      </c>
      <c r="J48" s="95">
        <v>138.09285800000001</v>
      </c>
      <c r="K48" s="95">
        <v>6.1624999999999999E-2</v>
      </c>
      <c r="L48" s="95">
        <v>8.0077400000000001</v>
      </c>
      <c r="M48" s="95">
        <v>4.9943020000000002</v>
      </c>
      <c r="N48" s="95">
        <v>988.29242799999997</v>
      </c>
      <c r="O48" s="95">
        <v>144.39639099999999</v>
      </c>
      <c r="P48" s="95">
        <v>64.037966999999995</v>
      </c>
      <c r="Q48" s="95">
        <v>5.5501769999999997</v>
      </c>
      <c r="R48" s="95">
        <v>340.95763999999969</v>
      </c>
      <c r="S48" s="95">
        <v>11442.508217999999</v>
      </c>
    </row>
    <row r="49" spans="1:19" ht="15" customHeight="1" x14ac:dyDescent="0.2">
      <c r="A49" s="10">
        <v>44075</v>
      </c>
      <c r="B49" s="90">
        <v>5275.3295189999999</v>
      </c>
      <c r="C49" s="95">
        <v>1056.5380270000001</v>
      </c>
      <c r="D49" s="90">
        <v>182.033885</v>
      </c>
      <c r="E49" s="90">
        <v>467.02231399999999</v>
      </c>
      <c r="F49" s="95">
        <v>157.93474900000007</v>
      </c>
      <c r="G49" s="95">
        <v>432.91546599999998</v>
      </c>
      <c r="H49" s="101">
        <v>503.29485199999999</v>
      </c>
      <c r="I49" s="95">
        <v>551.25690899999995</v>
      </c>
      <c r="J49" s="95">
        <v>161.72214600000001</v>
      </c>
      <c r="K49" s="95">
        <v>0.109763</v>
      </c>
      <c r="L49" s="95">
        <v>14.892844</v>
      </c>
      <c r="M49" s="95">
        <v>8.8715349999999997</v>
      </c>
      <c r="N49" s="95">
        <v>319.792417</v>
      </c>
      <c r="O49" s="95">
        <v>397.49417899999997</v>
      </c>
      <c r="P49" s="95">
        <v>119.823218</v>
      </c>
      <c r="Q49" s="95">
        <v>6.2308719999999997</v>
      </c>
      <c r="R49" s="95">
        <v>417.52377100000024</v>
      </c>
      <c r="S49" s="95">
        <v>10072.786466000001</v>
      </c>
    </row>
    <row r="50" spans="1:19" ht="15" customHeight="1" x14ac:dyDescent="0.2">
      <c r="A50" s="10">
        <v>44105</v>
      </c>
      <c r="B50" s="90">
        <v>4510.7488050000002</v>
      </c>
      <c r="C50" s="95">
        <v>791.79058799999996</v>
      </c>
      <c r="D50" s="90">
        <v>207.53048200000001</v>
      </c>
      <c r="E50" s="90">
        <v>465.30888900000002</v>
      </c>
      <c r="F50" s="95">
        <v>216.780936</v>
      </c>
      <c r="G50" s="95">
        <v>809.02670799999999</v>
      </c>
      <c r="H50" s="101">
        <v>376.01481200000001</v>
      </c>
      <c r="I50" s="95">
        <v>472.868312</v>
      </c>
      <c r="J50" s="95">
        <v>123.348893</v>
      </c>
      <c r="K50" s="95">
        <v>0</v>
      </c>
      <c r="L50" s="95">
        <v>15.345006</v>
      </c>
      <c r="M50" s="95">
        <v>5.1996460000000004</v>
      </c>
      <c r="N50" s="95">
        <v>111.432541</v>
      </c>
      <c r="O50" s="95">
        <v>306.70102500000002</v>
      </c>
      <c r="P50" s="95">
        <v>88.826958000000005</v>
      </c>
      <c r="Q50" s="95">
        <v>12.575837999999999</v>
      </c>
      <c r="R50" s="95">
        <v>471.94122999999979</v>
      </c>
      <c r="S50" s="95">
        <v>8985.4406690000014</v>
      </c>
    </row>
    <row r="51" spans="1:19" ht="15" customHeight="1" x14ac:dyDescent="0.2">
      <c r="A51" s="10">
        <v>44136</v>
      </c>
      <c r="B51" s="90">
        <v>4422.4325930000005</v>
      </c>
      <c r="C51" s="95">
        <v>1062.2674870000001</v>
      </c>
      <c r="D51" s="90">
        <v>159.90581900000001</v>
      </c>
      <c r="E51" s="90">
        <v>462.96374200000002</v>
      </c>
      <c r="F51" s="95">
        <v>131.35432699999944</v>
      </c>
      <c r="G51" s="95">
        <v>373.586682</v>
      </c>
      <c r="H51" s="101">
        <v>234.22535099999999</v>
      </c>
      <c r="I51" s="95">
        <v>409.66726899999998</v>
      </c>
      <c r="J51" s="95">
        <v>189.424001</v>
      </c>
      <c r="K51" s="95">
        <v>0.87927200000000005</v>
      </c>
      <c r="L51" s="95">
        <v>7.222969</v>
      </c>
      <c r="M51" s="95">
        <v>2.5639059999999998</v>
      </c>
      <c r="N51" s="95">
        <v>46.820031</v>
      </c>
      <c r="O51" s="95">
        <v>212.335521</v>
      </c>
      <c r="P51" s="95">
        <v>81.645340000000004</v>
      </c>
      <c r="Q51" s="95">
        <v>10.421794</v>
      </c>
      <c r="R51" s="95">
        <v>436.61956300000008</v>
      </c>
      <c r="S51" s="95">
        <v>8244.3356669999994</v>
      </c>
    </row>
    <row r="52" spans="1:19" ht="15" customHeight="1" x14ac:dyDescent="0.2">
      <c r="A52" s="10">
        <v>44166</v>
      </c>
      <c r="B52" s="90">
        <v>3616.8796470000002</v>
      </c>
      <c r="C52" s="95">
        <v>1590.855853</v>
      </c>
      <c r="D52" s="90">
        <v>319.800074</v>
      </c>
      <c r="E52" s="90">
        <v>517.89035899999999</v>
      </c>
      <c r="F52" s="95">
        <v>143.61956399999985</v>
      </c>
      <c r="G52" s="95">
        <v>312.64453600000002</v>
      </c>
      <c r="H52" s="101">
        <v>470.15061500000002</v>
      </c>
      <c r="I52" s="95">
        <v>477.43661800000001</v>
      </c>
      <c r="J52" s="95">
        <v>180.25950499999999</v>
      </c>
      <c r="K52" s="95">
        <v>0</v>
      </c>
      <c r="L52" s="95">
        <v>4.2429810000000003</v>
      </c>
      <c r="M52" s="95">
        <v>4.9333239999999998</v>
      </c>
      <c r="N52" s="95">
        <v>0.54019899999999998</v>
      </c>
      <c r="O52" s="95">
        <v>149.94150400000001</v>
      </c>
      <c r="P52" s="95">
        <v>112.218035</v>
      </c>
      <c r="Q52" s="95">
        <v>14.375643999999999</v>
      </c>
      <c r="R52" s="95">
        <v>428.44095800000008</v>
      </c>
      <c r="S52" s="95">
        <v>8344.2294160000001</v>
      </c>
    </row>
    <row r="53" spans="1:19" ht="15" customHeight="1" x14ac:dyDescent="0.2">
      <c r="A53" s="11">
        <v>44197</v>
      </c>
      <c r="B53" s="91">
        <v>5104.8384999999998</v>
      </c>
      <c r="C53" s="97">
        <v>1698.748603</v>
      </c>
      <c r="D53" s="91">
        <v>742.04032900000004</v>
      </c>
      <c r="E53" s="91">
        <v>318.12588599999998</v>
      </c>
      <c r="F53" s="97">
        <v>145.05806800000045</v>
      </c>
      <c r="G53" s="97">
        <v>315.87255900000002</v>
      </c>
      <c r="H53" s="84">
        <v>418.97949</v>
      </c>
      <c r="I53" s="97">
        <v>504.57510200000002</v>
      </c>
      <c r="J53" s="97">
        <v>149.31645399999999</v>
      </c>
      <c r="K53" s="97">
        <v>2.8119000000000002E-2</v>
      </c>
      <c r="L53" s="97">
        <v>11.435117</v>
      </c>
      <c r="M53" s="97">
        <v>2.1456439999999999</v>
      </c>
      <c r="N53" s="97">
        <v>108.94626100000001</v>
      </c>
      <c r="O53" s="97">
        <v>213.86270300000001</v>
      </c>
      <c r="P53" s="97">
        <v>87.043199999999999</v>
      </c>
      <c r="Q53" s="97">
        <v>13.575402</v>
      </c>
      <c r="R53" s="97">
        <v>445.69865799999991</v>
      </c>
      <c r="S53" s="97">
        <v>10280.290095</v>
      </c>
    </row>
    <row r="54" spans="1:19" ht="15" customHeight="1" x14ac:dyDescent="0.2">
      <c r="A54" s="11">
        <v>44228</v>
      </c>
      <c r="B54" s="91">
        <v>3162.4519810000002</v>
      </c>
      <c r="C54" s="97">
        <v>1640.2128319999999</v>
      </c>
      <c r="D54" s="91">
        <v>1005.883235</v>
      </c>
      <c r="E54" s="91">
        <v>526.20343600000001</v>
      </c>
      <c r="F54" s="97">
        <v>92.952094999999872</v>
      </c>
      <c r="G54" s="97">
        <v>296.96956399999999</v>
      </c>
      <c r="H54" s="84">
        <v>468.43627099999998</v>
      </c>
      <c r="I54" s="97">
        <v>488.46662400000002</v>
      </c>
      <c r="J54" s="97">
        <v>143.50880699999999</v>
      </c>
      <c r="K54" s="97">
        <v>2.4687000000000001E-2</v>
      </c>
      <c r="L54" s="97">
        <v>6.6174299999999997</v>
      </c>
      <c r="M54" s="97">
        <v>6.8332639999999998</v>
      </c>
      <c r="N54" s="97">
        <v>421.308288</v>
      </c>
      <c r="O54" s="97">
        <v>246.10907399999999</v>
      </c>
      <c r="P54" s="97">
        <v>86.809005999999997</v>
      </c>
      <c r="Q54" s="97">
        <v>7.3306610000000001</v>
      </c>
      <c r="R54" s="97">
        <v>384.70915300000013</v>
      </c>
      <c r="S54" s="97">
        <v>8984.826407999999</v>
      </c>
    </row>
    <row r="55" spans="1:19" ht="15" customHeight="1" x14ac:dyDescent="0.2">
      <c r="A55" s="11">
        <v>44256</v>
      </c>
      <c r="B55" s="91">
        <v>3325.1679680000002</v>
      </c>
      <c r="C55" s="97">
        <v>2470.9245129999999</v>
      </c>
      <c r="D55" s="91">
        <v>1157.102198</v>
      </c>
      <c r="E55" s="91">
        <v>403.81870900000001</v>
      </c>
      <c r="F55" s="97">
        <v>249.98206600000015</v>
      </c>
      <c r="G55" s="97">
        <v>653.08046200000001</v>
      </c>
      <c r="H55" s="84">
        <v>788.91576899999995</v>
      </c>
      <c r="I55" s="97">
        <v>646.38962000000004</v>
      </c>
      <c r="J55" s="97">
        <v>164.19200499999999</v>
      </c>
      <c r="K55" s="97">
        <v>2.6550400000000001</v>
      </c>
      <c r="L55" s="97">
        <v>14.784545</v>
      </c>
      <c r="M55" s="97">
        <v>4.5386470000000001</v>
      </c>
      <c r="N55" s="97">
        <v>859.636076</v>
      </c>
      <c r="O55" s="97">
        <v>440.82592299999999</v>
      </c>
      <c r="P55" s="97">
        <v>69.465042999999994</v>
      </c>
      <c r="Q55" s="97">
        <v>28.475300000000001</v>
      </c>
      <c r="R55" s="97">
        <v>639.5845700000001</v>
      </c>
      <c r="S55" s="97">
        <v>11919.538454</v>
      </c>
    </row>
    <row r="56" spans="1:19" ht="15" customHeight="1" x14ac:dyDescent="0.2">
      <c r="A56" s="11">
        <v>44287</v>
      </c>
      <c r="B56" s="91">
        <v>1769.122249</v>
      </c>
      <c r="C56" s="97">
        <v>1631.661564</v>
      </c>
      <c r="D56" s="91">
        <v>642.97019299999999</v>
      </c>
      <c r="E56" s="91">
        <v>261.56072999999998</v>
      </c>
      <c r="F56" s="97">
        <v>111.57265000000035</v>
      </c>
      <c r="G56" s="97">
        <v>368.16771599999998</v>
      </c>
      <c r="H56" s="84">
        <v>538.907195</v>
      </c>
      <c r="I56" s="97">
        <v>554.590509</v>
      </c>
      <c r="J56" s="97">
        <v>76.677555999999996</v>
      </c>
      <c r="K56" s="97">
        <v>3.9971E-2</v>
      </c>
      <c r="L56" s="97">
        <v>3.2932830000000002</v>
      </c>
      <c r="M56" s="97">
        <v>2.770451</v>
      </c>
      <c r="N56" s="97">
        <v>680.88609699999995</v>
      </c>
      <c r="O56" s="97">
        <v>152.67856399999999</v>
      </c>
      <c r="P56" s="97">
        <v>49.441817999999998</v>
      </c>
      <c r="Q56" s="97">
        <v>3.8935330000000001</v>
      </c>
      <c r="R56" s="97">
        <v>394.20582699999989</v>
      </c>
      <c r="S56" s="97">
        <v>7242.4399059999996</v>
      </c>
    </row>
    <row r="57" spans="1:19" ht="15" customHeight="1" x14ac:dyDescent="0.2">
      <c r="A57" s="11">
        <v>44317</v>
      </c>
      <c r="B57" s="91">
        <v>2667.3624249999998</v>
      </c>
      <c r="C57" s="97">
        <v>828.16716699999995</v>
      </c>
      <c r="D57" s="91">
        <v>513.09524099999999</v>
      </c>
      <c r="E57" s="91">
        <v>845.45926999999995</v>
      </c>
      <c r="F57" s="97">
        <v>165.78475999999989</v>
      </c>
      <c r="G57" s="97">
        <v>379.81743799999998</v>
      </c>
      <c r="H57" s="84">
        <v>345.67749300000003</v>
      </c>
      <c r="I57" s="97">
        <v>552.23802000000001</v>
      </c>
      <c r="J57" s="97">
        <v>138.24065100000001</v>
      </c>
      <c r="K57" s="97">
        <v>0</v>
      </c>
      <c r="L57" s="97">
        <v>0.73709999999999998</v>
      </c>
      <c r="M57" s="97">
        <v>4.155443</v>
      </c>
      <c r="N57" s="97">
        <v>655.49833699999999</v>
      </c>
      <c r="O57" s="97">
        <v>97.347257999999997</v>
      </c>
      <c r="P57" s="97">
        <v>93.302403999999996</v>
      </c>
      <c r="Q57" s="97">
        <v>6.2028829999999999</v>
      </c>
      <c r="R57" s="97">
        <v>427.02814399999983</v>
      </c>
      <c r="S57" s="97">
        <v>7720.1140340000002</v>
      </c>
    </row>
    <row r="58" spans="1:19" ht="15" customHeight="1" x14ac:dyDescent="0.2">
      <c r="A58" s="11">
        <v>44348</v>
      </c>
      <c r="B58" s="91">
        <v>3582.630279</v>
      </c>
      <c r="C58" s="97">
        <v>1830.74209</v>
      </c>
      <c r="D58" s="91">
        <v>741.75487999999996</v>
      </c>
      <c r="E58" s="91">
        <v>702.75632399999995</v>
      </c>
      <c r="F58" s="97">
        <v>241.11038300000041</v>
      </c>
      <c r="G58" s="97">
        <v>376.18802799999997</v>
      </c>
      <c r="H58" s="84">
        <v>614.18415400000004</v>
      </c>
      <c r="I58" s="97">
        <v>565.39097800000002</v>
      </c>
      <c r="J58" s="97">
        <v>110.236063</v>
      </c>
      <c r="K58" s="97">
        <v>0.40362199999999998</v>
      </c>
      <c r="L58" s="97">
        <v>0.83929500000000001</v>
      </c>
      <c r="M58" s="97">
        <v>3.845736</v>
      </c>
      <c r="N58" s="97">
        <v>382.77399200000002</v>
      </c>
      <c r="O58" s="97">
        <v>109.667311</v>
      </c>
      <c r="P58" s="97">
        <v>107.957695</v>
      </c>
      <c r="Q58" s="97">
        <v>20.049637000000001</v>
      </c>
      <c r="R58" s="97">
        <v>473.68560899999977</v>
      </c>
      <c r="S58" s="97">
        <v>9864.2160759999988</v>
      </c>
    </row>
    <row r="59" spans="1:19" ht="15" customHeight="1" x14ac:dyDescent="0.2">
      <c r="A59" s="11">
        <v>44378</v>
      </c>
      <c r="B59" s="91">
        <v>5701.3566870000004</v>
      </c>
      <c r="C59" s="97">
        <v>1614.731303</v>
      </c>
      <c r="D59" s="91">
        <v>482.72327100000001</v>
      </c>
      <c r="E59" s="91">
        <v>1201.0942299999999</v>
      </c>
      <c r="F59" s="97">
        <v>169.00797999999941</v>
      </c>
      <c r="G59" s="97">
        <v>801.63418100000001</v>
      </c>
      <c r="H59" s="84">
        <v>530.16558299999997</v>
      </c>
      <c r="I59" s="97">
        <v>794.36191199999996</v>
      </c>
      <c r="J59" s="97">
        <v>275.126555</v>
      </c>
      <c r="K59" s="97">
        <v>125.51069099999999</v>
      </c>
      <c r="L59" s="97">
        <v>2.723875</v>
      </c>
      <c r="M59" s="97">
        <v>4.5359410000000002</v>
      </c>
      <c r="N59" s="97">
        <v>771.91457800000001</v>
      </c>
      <c r="O59" s="97">
        <v>274.01342499999998</v>
      </c>
      <c r="P59" s="97">
        <v>78.225819999999999</v>
      </c>
      <c r="Q59" s="97">
        <v>19.089849000000001</v>
      </c>
      <c r="R59" s="97">
        <v>675.25112100000047</v>
      </c>
      <c r="S59" s="97">
        <v>13521.467001999999</v>
      </c>
    </row>
    <row r="60" spans="1:19" ht="15" customHeight="1" x14ac:dyDescent="0.2">
      <c r="A60" s="11">
        <v>44409</v>
      </c>
      <c r="B60" s="91">
        <v>4363.1333439999999</v>
      </c>
      <c r="C60" s="97">
        <v>1933.136831</v>
      </c>
      <c r="D60" s="91">
        <v>423.12939799999998</v>
      </c>
      <c r="E60" s="91">
        <v>1097.4258609999999</v>
      </c>
      <c r="F60" s="97">
        <v>137.3482799999997</v>
      </c>
      <c r="G60" s="97">
        <v>446.18556100000001</v>
      </c>
      <c r="H60" s="84">
        <v>529.56092000000001</v>
      </c>
      <c r="I60" s="97">
        <v>709.04922899999997</v>
      </c>
      <c r="J60" s="97">
        <v>127.668415</v>
      </c>
      <c r="K60" s="97">
        <v>208.292824</v>
      </c>
      <c r="L60" s="97">
        <v>3.284653</v>
      </c>
      <c r="M60" s="97">
        <v>7.0967010000000004</v>
      </c>
      <c r="N60" s="97">
        <v>1485.8979509999999</v>
      </c>
      <c r="O60" s="97">
        <v>106.17226700000001</v>
      </c>
      <c r="P60" s="97">
        <v>75.412942000000001</v>
      </c>
      <c r="Q60" s="97">
        <v>4.8058100000000001</v>
      </c>
      <c r="R60" s="97">
        <v>415.5199259999996</v>
      </c>
      <c r="S60" s="97">
        <v>12073.120912999999</v>
      </c>
    </row>
    <row r="61" spans="1:19" ht="15" customHeight="1" x14ac:dyDescent="0.2">
      <c r="A61" s="11">
        <v>44440</v>
      </c>
      <c r="B61" s="91">
        <v>5035.2163479999999</v>
      </c>
      <c r="C61" s="97">
        <v>1513.2732599999999</v>
      </c>
      <c r="D61" s="91">
        <v>371.12991599999998</v>
      </c>
      <c r="E61" s="91">
        <v>481.75336199999998</v>
      </c>
      <c r="F61" s="97">
        <v>127.27803799999975</v>
      </c>
      <c r="G61" s="97">
        <v>376.92179800000002</v>
      </c>
      <c r="H61" s="84">
        <v>221.98177200000001</v>
      </c>
      <c r="I61" s="97">
        <v>591.57106099999999</v>
      </c>
      <c r="J61" s="97">
        <v>143.31827999999999</v>
      </c>
      <c r="K61" s="97">
        <v>66.619192999999996</v>
      </c>
      <c r="L61" s="97">
        <v>7.5511330000000001</v>
      </c>
      <c r="M61" s="97">
        <v>4.638801</v>
      </c>
      <c r="N61" s="97">
        <v>900.49986000000001</v>
      </c>
      <c r="O61" s="97">
        <v>328.63188100000002</v>
      </c>
      <c r="P61" s="97">
        <v>102.19843899999999</v>
      </c>
      <c r="Q61" s="97">
        <v>1.869545</v>
      </c>
      <c r="R61" s="97">
        <v>537.328124</v>
      </c>
      <c r="S61" s="97">
        <v>10811.780811000001</v>
      </c>
    </row>
    <row r="62" spans="1:19" ht="15" customHeight="1" x14ac:dyDescent="0.2">
      <c r="A62" s="11">
        <v>44470</v>
      </c>
      <c r="B62" s="91">
        <v>6171.5728710000003</v>
      </c>
      <c r="C62" s="97">
        <v>1869.8224439999999</v>
      </c>
      <c r="D62" s="91">
        <v>311.994416</v>
      </c>
      <c r="E62" s="91">
        <v>532.41752699999995</v>
      </c>
      <c r="F62" s="97">
        <v>133.24780700000031</v>
      </c>
      <c r="G62" s="97">
        <v>485.72157900000002</v>
      </c>
      <c r="H62" s="84">
        <v>368.223072</v>
      </c>
      <c r="I62" s="97">
        <v>635.85868300000004</v>
      </c>
      <c r="J62" s="97">
        <v>354.49819600000001</v>
      </c>
      <c r="K62" s="97">
        <v>44.292856999999998</v>
      </c>
      <c r="L62" s="97">
        <v>5.8093050000000002</v>
      </c>
      <c r="M62" s="97">
        <v>9.7053419999999999</v>
      </c>
      <c r="N62" s="97">
        <v>1053.732917</v>
      </c>
      <c r="O62" s="97">
        <v>270.792891</v>
      </c>
      <c r="P62" s="97">
        <v>62.796698999999997</v>
      </c>
      <c r="Q62" s="97">
        <v>1.181332</v>
      </c>
      <c r="R62" s="97">
        <v>575.29433600000027</v>
      </c>
      <c r="S62" s="97">
        <v>12886.962274000001</v>
      </c>
    </row>
    <row r="63" spans="1:19" ht="15" customHeight="1" x14ac:dyDescent="0.2">
      <c r="A63" s="11">
        <v>44501</v>
      </c>
      <c r="B63" s="91">
        <v>4847.9195600000003</v>
      </c>
      <c r="C63" s="97">
        <v>3276.969024</v>
      </c>
      <c r="D63" s="91">
        <v>364.67452400000002</v>
      </c>
      <c r="E63" s="91">
        <v>635.48576300000002</v>
      </c>
      <c r="F63" s="97">
        <v>286.10129900000049</v>
      </c>
      <c r="G63" s="97">
        <v>727.75059899999997</v>
      </c>
      <c r="H63" s="84">
        <v>1034.9739219999999</v>
      </c>
      <c r="I63" s="97">
        <v>809.86908900000003</v>
      </c>
      <c r="J63" s="97">
        <v>271.16842800000001</v>
      </c>
      <c r="K63" s="97">
        <v>210.84567000000001</v>
      </c>
      <c r="L63" s="97">
        <v>7.2715870000000002</v>
      </c>
      <c r="M63" s="97">
        <v>5.5180759999999998</v>
      </c>
      <c r="N63" s="97">
        <v>761.889096</v>
      </c>
      <c r="O63" s="97">
        <v>537.78727400000002</v>
      </c>
      <c r="P63" s="97">
        <v>168.50529399999999</v>
      </c>
      <c r="Q63" s="97">
        <v>2.3240219999999998</v>
      </c>
      <c r="R63" s="97">
        <v>643.76893700000028</v>
      </c>
      <c r="S63" s="97">
        <v>14592.822163999999</v>
      </c>
    </row>
    <row r="64" spans="1:19" ht="15" customHeight="1" x14ac:dyDescent="0.2">
      <c r="A64" s="11">
        <v>44531</v>
      </c>
      <c r="B64" s="91">
        <v>4162.0389370000003</v>
      </c>
      <c r="C64" s="97">
        <v>3370.1727580000002</v>
      </c>
      <c r="D64" s="91">
        <v>224.276343</v>
      </c>
      <c r="E64" s="91">
        <v>880.05371600000001</v>
      </c>
      <c r="F64" s="97">
        <v>156.18792799999881</v>
      </c>
      <c r="G64" s="97">
        <v>456.02534700000001</v>
      </c>
      <c r="H64" s="84">
        <v>418.36520000000002</v>
      </c>
      <c r="I64" s="97">
        <v>712.57250299999998</v>
      </c>
      <c r="J64" s="97">
        <v>119.85510499999999</v>
      </c>
      <c r="K64" s="97">
        <v>76.024467000000001</v>
      </c>
      <c r="L64" s="97">
        <v>3.0075470000000002</v>
      </c>
      <c r="M64" s="97">
        <v>6.544092</v>
      </c>
      <c r="N64" s="97">
        <v>566.93204500000002</v>
      </c>
      <c r="O64" s="97">
        <v>299.01323100000002</v>
      </c>
      <c r="P64" s="97">
        <v>121.217562</v>
      </c>
      <c r="Q64" s="97">
        <v>1.651775</v>
      </c>
      <c r="R64" s="97">
        <v>590.77710800000011</v>
      </c>
      <c r="S64" s="97">
        <v>12164.715663999999</v>
      </c>
    </row>
    <row r="65" spans="1:19" ht="15" customHeight="1" x14ac:dyDescent="0.2">
      <c r="A65" s="10">
        <v>44562</v>
      </c>
      <c r="B65" s="90">
        <v>4294.4773969999997</v>
      </c>
      <c r="C65" s="95">
        <v>2063.926696</v>
      </c>
      <c r="D65" s="90">
        <v>237.24677399999999</v>
      </c>
      <c r="E65" s="90">
        <v>361.28432500000002</v>
      </c>
      <c r="F65" s="95">
        <v>99.838704000000064</v>
      </c>
      <c r="G65" s="95">
        <v>451.99639500000001</v>
      </c>
      <c r="H65" s="101">
        <v>460.36717199999998</v>
      </c>
      <c r="I65" s="95">
        <v>623.47399900000005</v>
      </c>
      <c r="J65" s="95">
        <v>77.365367000000006</v>
      </c>
      <c r="K65" s="95">
        <v>88.363522000000003</v>
      </c>
      <c r="L65" s="95">
        <v>2.0783670000000001</v>
      </c>
      <c r="M65" s="95">
        <v>5.0724669999999996</v>
      </c>
      <c r="N65" s="95">
        <v>652.330198</v>
      </c>
      <c r="O65" s="95">
        <v>197.53560200000001</v>
      </c>
      <c r="P65" s="95">
        <v>33.473013000000002</v>
      </c>
      <c r="Q65" s="95">
        <v>3.2999100000000001</v>
      </c>
      <c r="R65" s="95">
        <v>575.25640099999964</v>
      </c>
      <c r="S65" s="95">
        <v>10227.386309</v>
      </c>
    </row>
    <row r="66" spans="1:19" ht="15" customHeight="1" x14ac:dyDescent="0.2">
      <c r="A66" s="10">
        <v>44593</v>
      </c>
      <c r="B66" s="90">
        <v>2716.0243519999999</v>
      </c>
      <c r="C66" s="95">
        <v>1937.7833989999999</v>
      </c>
      <c r="D66" s="90">
        <v>379.07822399999998</v>
      </c>
      <c r="E66" s="90">
        <v>247.21132299999999</v>
      </c>
      <c r="F66" s="95">
        <v>179.52463700000033</v>
      </c>
      <c r="G66" s="95">
        <v>329.36250000000001</v>
      </c>
      <c r="H66" s="101">
        <v>419.29923300000002</v>
      </c>
      <c r="I66" s="95">
        <v>418.28845200000001</v>
      </c>
      <c r="J66" s="95">
        <v>228.768528</v>
      </c>
      <c r="K66" s="95">
        <v>117.26148999999999</v>
      </c>
      <c r="L66" s="95">
        <v>1.6595960000000001</v>
      </c>
      <c r="M66" s="95">
        <v>6.7277259999999997</v>
      </c>
      <c r="N66" s="95">
        <v>474.06606499999998</v>
      </c>
      <c r="O66" s="95">
        <v>172.82077699999999</v>
      </c>
      <c r="P66" s="95">
        <v>70.737457000000006</v>
      </c>
      <c r="Q66" s="95">
        <v>1.542794</v>
      </c>
      <c r="R66" s="95">
        <v>476.64869599999975</v>
      </c>
      <c r="S66" s="95">
        <v>8176.805249</v>
      </c>
    </row>
    <row r="67" spans="1:19" ht="15" customHeight="1" x14ac:dyDescent="0.2">
      <c r="A67" s="10">
        <v>44621</v>
      </c>
      <c r="B67" s="90">
        <v>2848.9583819999998</v>
      </c>
      <c r="C67" s="95">
        <v>1986.329109</v>
      </c>
      <c r="D67" s="90">
        <v>497.34832899999998</v>
      </c>
      <c r="E67" s="90">
        <v>492.58651500000002</v>
      </c>
      <c r="F67" s="95">
        <v>119.06921500000016</v>
      </c>
      <c r="G67" s="95">
        <v>536.51590599999997</v>
      </c>
      <c r="H67" s="101">
        <v>721.79167399999994</v>
      </c>
      <c r="I67" s="95">
        <v>644.15923399999997</v>
      </c>
      <c r="J67" s="95">
        <v>256.87347299999999</v>
      </c>
      <c r="K67" s="95">
        <v>209.25070299999999</v>
      </c>
      <c r="L67" s="95">
        <v>2.6453350000000002</v>
      </c>
      <c r="M67" s="95">
        <v>15.409122</v>
      </c>
      <c r="N67" s="95">
        <v>990.97548500000005</v>
      </c>
      <c r="O67" s="95">
        <v>345.73241100000001</v>
      </c>
      <c r="P67" s="95">
        <v>141.79482300000001</v>
      </c>
      <c r="Q67" s="95">
        <v>7.0801040000000004</v>
      </c>
      <c r="R67" s="95">
        <v>593.90568499999961</v>
      </c>
      <c r="S67" s="95">
        <v>10410.425504999999</v>
      </c>
    </row>
    <row r="68" spans="1:19" ht="15" customHeight="1" x14ac:dyDescent="0.2">
      <c r="A68" s="10">
        <v>44652</v>
      </c>
      <c r="B68" s="90">
        <v>3982.1703950000001</v>
      </c>
      <c r="C68" s="95">
        <v>1464.4556950000001</v>
      </c>
      <c r="D68" s="90">
        <v>527.46578899999997</v>
      </c>
      <c r="E68" s="90">
        <v>673.49897699999997</v>
      </c>
      <c r="F68" s="95">
        <v>199.80209499999967</v>
      </c>
      <c r="G68" s="95">
        <v>537.72497899999996</v>
      </c>
      <c r="H68" s="101">
        <v>276.05494900000002</v>
      </c>
      <c r="I68" s="95">
        <v>830.02329399999996</v>
      </c>
      <c r="J68" s="95">
        <v>244.66394700000001</v>
      </c>
      <c r="K68" s="95">
        <v>396.39770099999998</v>
      </c>
      <c r="L68" s="95">
        <v>2.349472</v>
      </c>
      <c r="M68" s="95">
        <v>7.1752890000000003</v>
      </c>
      <c r="N68" s="95">
        <v>2064.4252940000001</v>
      </c>
      <c r="O68" s="95">
        <v>191.160811</v>
      </c>
      <c r="P68" s="95">
        <v>136.88894300000001</v>
      </c>
      <c r="Q68" s="95">
        <v>14.477274</v>
      </c>
      <c r="R68" s="95">
        <v>855.95227699999987</v>
      </c>
      <c r="S68" s="95">
        <v>12404.687180999999</v>
      </c>
    </row>
    <row r="69" spans="1:19" ht="15" customHeight="1" x14ac:dyDescent="0.2">
      <c r="A69" s="10">
        <v>44682</v>
      </c>
      <c r="B69" s="90">
        <v>4591.4710800000003</v>
      </c>
      <c r="C69" s="95">
        <v>1735.3412499999999</v>
      </c>
      <c r="D69" s="90">
        <v>485.92984300000001</v>
      </c>
      <c r="E69" s="90">
        <v>513.89200700000004</v>
      </c>
      <c r="F69" s="95">
        <v>237.15467199999944</v>
      </c>
      <c r="G69" s="95">
        <v>609.13647500000002</v>
      </c>
      <c r="H69" s="101">
        <v>259.47727800000001</v>
      </c>
      <c r="I69" s="95">
        <v>800.32089599999995</v>
      </c>
      <c r="J69" s="95">
        <v>473.119304</v>
      </c>
      <c r="K69" s="95">
        <v>508.36145800000003</v>
      </c>
      <c r="L69" s="95">
        <v>2.880455</v>
      </c>
      <c r="M69" s="95">
        <v>6.1531929999999999</v>
      </c>
      <c r="N69" s="95">
        <v>3273.2990500000001</v>
      </c>
      <c r="O69" s="95">
        <v>297.839607</v>
      </c>
      <c r="P69" s="95">
        <v>178.97015099999999</v>
      </c>
      <c r="Q69" s="95">
        <v>28.041962999999999</v>
      </c>
      <c r="R69" s="95">
        <v>787.26615399999946</v>
      </c>
      <c r="S69" s="95">
        <v>14788.654836</v>
      </c>
    </row>
    <row r="70" spans="1:19" ht="15" customHeight="1" x14ac:dyDescent="0.2">
      <c r="A70" s="10">
        <v>44713</v>
      </c>
      <c r="B70" s="90">
        <v>6668.7716879999998</v>
      </c>
      <c r="C70" s="95">
        <v>2747.649762</v>
      </c>
      <c r="D70" s="90">
        <v>543.03113099999996</v>
      </c>
      <c r="E70" s="90">
        <v>1156.2085300000001</v>
      </c>
      <c r="F70" s="95">
        <v>322.00375300000042</v>
      </c>
      <c r="G70" s="95">
        <v>1215.018536</v>
      </c>
      <c r="H70" s="101">
        <v>763.77963799999998</v>
      </c>
      <c r="I70" s="95">
        <v>1345.2740960000001</v>
      </c>
      <c r="J70" s="95">
        <v>418.64868899999999</v>
      </c>
      <c r="K70" s="95">
        <v>533.46412299999997</v>
      </c>
      <c r="L70" s="95">
        <v>5.5681029999999998</v>
      </c>
      <c r="M70" s="95">
        <v>6.3134420000000002</v>
      </c>
      <c r="N70" s="95">
        <v>2161.2400400000001</v>
      </c>
      <c r="O70" s="95">
        <v>781.36785499999996</v>
      </c>
      <c r="P70" s="95">
        <v>91.599027000000007</v>
      </c>
      <c r="Q70" s="95">
        <v>47.280965999999999</v>
      </c>
      <c r="R70" s="95">
        <v>1115.9295530000013</v>
      </c>
      <c r="S70" s="95">
        <v>19923.148932</v>
      </c>
    </row>
    <row r="71" spans="1:19" ht="15" customHeight="1" x14ac:dyDescent="0.2">
      <c r="A71" s="10">
        <v>44743</v>
      </c>
      <c r="B71" s="90">
        <v>8294.4423399999996</v>
      </c>
      <c r="C71" s="95">
        <v>1734.109843</v>
      </c>
      <c r="D71" s="90">
        <v>439.52680500000002</v>
      </c>
      <c r="E71" s="90">
        <v>1566.6457089999999</v>
      </c>
      <c r="F71" s="95">
        <v>168.57712800000081</v>
      </c>
      <c r="G71" s="95">
        <v>658.89481999999998</v>
      </c>
      <c r="H71" s="101">
        <v>1011.422823</v>
      </c>
      <c r="I71" s="95">
        <v>1126.927954</v>
      </c>
      <c r="J71" s="95">
        <v>181.07719700000001</v>
      </c>
      <c r="K71" s="95">
        <v>665.16743099999997</v>
      </c>
      <c r="L71" s="95">
        <v>1.833626</v>
      </c>
      <c r="M71" s="95">
        <v>5.211646</v>
      </c>
      <c r="N71" s="95">
        <v>2062.0887229999998</v>
      </c>
      <c r="O71" s="95">
        <v>364.199881</v>
      </c>
      <c r="P71" s="95">
        <v>113.14288000000001</v>
      </c>
      <c r="Q71" s="95">
        <v>30.130209000000001</v>
      </c>
      <c r="R71" s="95">
        <v>1130.7930300000005</v>
      </c>
      <c r="S71" s="95">
        <v>19554.192045</v>
      </c>
    </row>
    <row r="72" spans="1:19" ht="15" customHeight="1" x14ac:dyDescent="0.2">
      <c r="A72" s="10">
        <v>44774</v>
      </c>
      <c r="B72" s="90">
        <v>9507.0256740000004</v>
      </c>
      <c r="C72" s="95">
        <v>2694.6999099999998</v>
      </c>
      <c r="D72" s="90">
        <v>592.75368100000003</v>
      </c>
      <c r="E72" s="90">
        <v>1515.2179819999999</v>
      </c>
      <c r="F72" s="95">
        <v>167.04590699999949</v>
      </c>
      <c r="G72" s="95">
        <v>1082.0375120000001</v>
      </c>
      <c r="H72" s="101">
        <v>725.44289200000003</v>
      </c>
      <c r="I72" s="95">
        <v>1381.2465299999999</v>
      </c>
      <c r="J72" s="95">
        <v>202.17657399999999</v>
      </c>
      <c r="K72" s="95">
        <v>733.20489699999996</v>
      </c>
      <c r="L72" s="95">
        <v>2.318066</v>
      </c>
      <c r="M72" s="95">
        <v>7.8584399999999999</v>
      </c>
      <c r="N72" s="95">
        <v>3096.4518629999998</v>
      </c>
      <c r="O72" s="95">
        <v>567.20786099999998</v>
      </c>
      <c r="P72" s="95">
        <v>180.33450199999999</v>
      </c>
      <c r="Q72" s="95">
        <v>41.405652000000003</v>
      </c>
      <c r="R72" s="95">
        <v>1183.8027560000007</v>
      </c>
      <c r="S72" s="95">
        <v>23680.230699</v>
      </c>
    </row>
    <row r="73" spans="1:19" ht="15" customHeight="1" x14ac:dyDescent="0.2">
      <c r="A73" s="10">
        <v>44805</v>
      </c>
      <c r="B73" s="90">
        <v>9751.1123389999993</v>
      </c>
      <c r="C73" s="95">
        <v>2777.7387100000001</v>
      </c>
      <c r="D73" s="90">
        <v>381.388846</v>
      </c>
      <c r="E73" s="90">
        <v>1565.376573</v>
      </c>
      <c r="F73" s="95">
        <v>221.53322300000104</v>
      </c>
      <c r="G73" s="95">
        <v>823.22677399999998</v>
      </c>
      <c r="H73" s="101">
        <v>751.77185399999996</v>
      </c>
      <c r="I73" s="95">
        <v>1102.1921279999999</v>
      </c>
      <c r="J73" s="95">
        <v>343.29505799999998</v>
      </c>
      <c r="K73" s="95">
        <v>191.63185100000001</v>
      </c>
      <c r="L73" s="95">
        <v>4.65367</v>
      </c>
      <c r="M73" s="95">
        <v>8.8764489999999991</v>
      </c>
      <c r="N73" s="95">
        <v>2998.3682979999999</v>
      </c>
      <c r="O73" s="95">
        <v>416.29606799999999</v>
      </c>
      <c r="P73" s="95">
        <v>326.01169299999998</v>
      </c>
      <c r="Q73" s="95">
        <v>53.485137000000002</v>
      </c>
      <c r="R73" s="95">
        <v>1283.8104530000003</v>
      </c>
      <c r="S73" s="95">
        <v>23000.769124000002</v>
      </c>
    </row>
    <row r="74" spans="1:19" ht="15" customHeight="1" x14ac:dyDescent="0.2">
      <c r="A74" s="10">
        <v>44835</v>
      </c>
      <c r="B74" s="90">
        <v>8689.9623080000001</v>
      </c>
      <c r="C74" s="95">
        <v>2422.6870159999999</v>
      </c>
      <c r="D74" s="90">
        <v>170.21120999999999</v>
      </c>
      <c r="E74" s="90">
        <v>1712.2054330000001</v>
      </c>
      <c r="F74" s="95">
        <v>212.07771899999943</v>
      </c>
      <c r="G74" s="95">
        <v>821.07055200000002</v>
      </c>
      <c r="H74" s="101">
        <v>875.84447999999998</v>
      </c>
      <c r="I74" s="95">
        <v>1347.6468279999999</v>
      </c>
      <c r="J74" s="95">
        <v>431.37916799999999</v>
      </c>
      <c r="K74" s="95">
        <v>57.797158000000003</v>
      </c>
      <c r="L74" s="95">
        <v>1.5498989999999999</v>
      </c>
      <c r="M74" s="95">
        <v>14.051076999999999</v>
      </c>
      <c r="N74" s="95">
        <v>2141.8675020000001</v>
      </c>
      <c r="O74" s="95">
        <v>577.98001499999998</v>
      </c>
      <c r="P74" s="95">
        <v>55.764789999999998</v>
      </c>
      <c r="Q74" s="95">
        <v>14.404071999999999</v>
      </c>
      <c r="R74" s="95">
        <v>809.2924460000005</v>
      </c>
      <c r="S74" s="95">
        <v>20355.791673</v>
      </c>
    </row>
    <row r="75" spans="1:19" ht="15" customHeight="1" x14ac:dyDescent="0.2">
      <c r="A75" s="10">
        <v>44866</v>
      </c>
      <c r="B75" s="90">
        <v>6583.5836060000001</v>
      </c>
      <c r="C75" s="95">
        <v>1637.1779320000001</v>
      </c>
      <c r="D75" s="90">
        <v>443.56946099999999</v>
      </c>
      <c r="E75" s="90">
        <v>977.43698900000004</v>
      </c>
      <c r="F75" s="95">
        <v>152.74468999999885</v>
      </c>
      <c r="G75" s="95">
        <v>881.62088000000006</v>
      </c>
      <c r="H75" s="101">
        <v>651.64398100000005</v>
      </c>
      <c r="I75" s="95">
        <v>1362.4644029999999</v>
      </c>
      <c r="J75" s="95">
        <v>512.05954999999994</v>
      </c>
      <c r="K75" s="95">
        <v>0.13011200000000001</v>
      </c>
      <c r="L75" s="95">
        <v>1.0501549999999999</v>
      </c>
      <c r="M75" s="95">
        <v>5.47011</v>
      </c>
      <c r="N75" s="95">
        <v>1270.2820139999999</v>
      </c>
      <c r="O75" s="95">
        <v>540.33818799999995</v>
      </c>
      <c r="P75" s="95">
        <v>185.25257099999999</v>
      </c>
      <c r="Q75" s="95">
        <v>26.104555999999999</v>
      </c>
      <c r="R75" s="95">
        <v>1168.1031379999999</v>
      </c>
      <c r="S75" s="95">
        <v>16399.032335999997</v>
      </c>
    </row>
    <row r="76" spans="1:19" ht="15" customHeight="1" x14ac:dyDescent="0.2">
      <c r="A76" s="10">
        <v>44896</v>
      </c>
      <c r="B76" s="90">
        <v>6890.4522349999997</v>
      </c>
      <c r="C76" s="95">
        <v>1953.343241</v>
      </c>
      <c r="D76" s="90">
        <v>2010.501049</v>
      </c>
      <c r="E76" s="90">
        <v>362.89547900000002</v>
      </c>
      <c r="F76" s="95">
        <v>164.19358200000056</v>
      </c>
      <c r="G76" s="95">
        <v>781.76868000000002</v>
      </c>
      <c r="H76" s="101">
        <v>866.70732399999997</v>
      </c>
      <c r="I76" s="95">
        <v>1430.196377</v>
      </c>
      <c r="J76" s="95">
        <v>534.04750200000001</v>
      </c>
      <c r="K76" s="95">
        <v>17.656842999999999</v>
      </c>
      <c r="L76" s="95">
        <v>10.169759000000001</v>
      </c>
      <c r="M76" s="95">
        <v>9.417745</v>
      </c>
      <c r="N76" s="95">
        <v>1.9499</v>
      </c>
      <c r="O76" s="95">
        <v>582.05147299999999</v>
      </c>
      <c r="P76" s="95">
        <v>208.76596499999999</v>
      </c>
      <c r="Q76" s="95">
        <v>8.0016800000000003</v>
      </c>
      <c r="R76" s="95">
        <v>1156.666408</v>
      </c>
      <c r="S76" s="95">
        <v>16988.785242000002</v>
      </c>
    </row>
    <row r="77" spans="1:19" ht="15" customHeight="1" x14ac:dyDescent="0.2">
      <c r="A77" s="11">
        <v>44927</v>
      </c>
      <c r="B77" s="91">
        <v>5846.7989159999997</v>
      </c>
      <c r="C77" s="97">
        <v>1647.331983</v>
      </c>
      <c r="D77" s="91">
        <v>3896.583322</v>
      </c>
      <c r="E77" s="91">
        <v>748.72013500000003</v>
      </c>
      <c r="F77" s="97">
        <v>213.59282499999972</v>
      </c>
      <c r="G77" s="97">
        <v>860.78163400000005</v>
      </c>
      <c r="H77" s="84">
        <v>271.07964299999998</v>
      </c>
      <c r="I77" s="97">
        <v>1139.7234020000001</v>
      </c>
      <c r="J77" s="97">
        <v>238.69968600000001</v>
      </c>
      <c r="K77" s="97">
        <v>18.078975</v>
      </c>
      <c r="L77" s="97">
        <v>1.7186269999999999</v>
      </c>
      <c r="M77" s="97">
        <v>12.242687999999999</v>
      </c>
      <c r="N77" s="97">
        <v>1.471735</v>
      </c>
      <c r="O77" s="97">
        <v>535.98224200000004</v>
      </c>
      <c r="P77" s="97">
        <v>215.29100500000001</v>
      </c>
      <c r="Q77" s="97">
        <v>20.849699999999999</v>
      </c>
      <c r="R77" s="97">
        <v>744.76400200000012</v>
      </c>
      <c r="S77" s="97">
        <v>16413.710520000001</v>
      </c>
    </row>
    <row r="78" spans="1:19" ht="15" customHeight="1" x14ac:dyDescent="0.2">
      <c r="A78" s="11">
        <v>44958</v>
      </c>
      <c r="B78" s="91">
        <v>5721.3985940000002</v>
      </c>
      <c r="C78" s="97">
        <v>2224.7921609999999</v>
      </c>
      <c r="D78" s="91">
        <v>3476.5776310000001</v>
      </c>
      <c r="E78" s="91">
        <v>792.322451</v>
      </c>
      <c r="F78" s="97">
        <v>169.62763099999938</v>
      </c>
      <c r="G78" s="97">
        <v>768.61079099999995</v>
      </c>
      <c r="H78" s="84">
        <v>935.67685300000005</v>
      </c>
      <c r="I78" s="97">
        <v>1173.199081</v>
      </c>
      <c r="J78" s="97">
        <v>228.269147</v>
      </c>
      <c r="K78" s="97">
        <v>32.071271000000003</v>
      </c>
      <c r="L78" s="97">
        <v>2.5800909999999999</v>
      </c>
      <c r="M78" s="97">
        <v>10.602012999999999</v>
      </c>
      <c r="N78" s="97">
        <v>1.6350499999999999</v>
      </c>
      <c r="O78" s="97">
        <v>496.94398999999999</v>
      </c>
      <c r="P78" s="97">
        <v>242.36418599999999</v>
      </c>
      <c r="Q78" s="97">
        <v>18.081246</v>
      </c>
      <c r="R78" s="97">
        <v>1002.6016020000002</v>
      </c>
      <c r="S78" s="97">
        <v>17297.353789000001</v>
      </c>
    </row>
    <row r="79" spans="1:19" ht="15" customHeight="1" x14ac:dyDescent="0.2">
      <c r="A79" s="11">
        <v>44986</v>
      </c>
      <c r="B79" s="91">
        <v>5632.3256860000001</v>
      </c>
      <c r="C79" s="97">
        <v>1942.8246280000001</v>
      </c>
      <c r="D79" s="91">
        <v>1911.9677509999999</v>
      </c>
      <c r="E79" s="91">
        <v>963.38618799999995</v>
      </c>
      <c r="F79" s="97">
        <v>207.89695199999983</v>
      </c>
      <c r="G79" s="97">
        <v>842.41555700000004</v>
      </c>
      <c r="H79" s="84">
        <v>1187.565783</v>
      </c>
      <c r="I79" s="97">
        <v>1253.798503</v>
      </c>
      <c r="J79" s="97">
        <v>245.01430099999999</v>
      </c>
      <c r="K79" s="97">
        <v>9.2469999999999997E-2</v>
      </c>
      <c r="L79" s="97">
        <v>1.453109</v>
      </c>
      <c r="M79" s="97">
        <v>3.4577870000000002</v>
      </c>
      <c r="N79" s="97">
        <v>1.5999699999999999</v>
      </c>
      <c r="O79" s="97">
        <v>486.39154400000001</v>
      </c>
      <c r="P79" s="97">
        <v>124.50995</v>
      </c>
      <c r="Q79" s="97">
        <v>16.997706000000001</v>
      </c>
      <c r="R79" s="97">
        <v>885.5954099999999</v>
      </c>
      <c r="S79" s="97">
        <v>15707.293294999999</v>
      </c>
    </row>
    <row r="80" spans="1:19" ht="15" customHeight="1" x14ac:dyDescent="0.2">
      <c r="A80" s="11">
        <v>45017</v>
      </c>
      <c r="B80" s="91">
        <v>4077.6831259999999</v>
      </c>
      <c r="C80" s="97">
        <v>856.31764699999997</v>
      </c>
      <c r="D80" s="91">
        <v>891.107078</v>
      </c>
      <c r="E80" s="91">
        <v>595.89082499999995</v>
      </c>
      <c r="F80" s="97">
        <v>207.09861500000034</v>
      </c>
      <c r="G80" s="97">
        <v>676.937408</v>
      </c>
      <c r="H80" s="84">
        <v>633.81748700000003</v>
      </c>
      <c r="I80" s="97">
        <v>1084.8514190000001</v>
      </c>
      <c r="J80" s="97">
        <v>299.402984</v>
      </c>
      <c r="K80" s="97">
        <v>19.504660000000001</v>
      </c>
      <c r="L80" s="97">
        <v>3.5178060000000002</v>
      </c>
      <c r="M80" s="97">
        <v>2.4973369999999999</v>
      </c>
      <c r="N80" s="97">
        <v>1397.0422149999999</v>
      </c>
      <c r="O80" s="97">
        <v>460.845707</v>
      </c>
      <c r="P80" s="97">
        <v>219.08274399999999</v>
      </c>
      <c r="Q80" s="97">
        <v>14.159767</v>
      </c>
      <c r="R80" s="97">
        <v>847.56530400000054</v>
      </c>
      <c r="S80" s="97">
        <v>12287.322129</v>
      </c>
    </row>
    <row r="81" spans="1:19" ht="15" customHeight="1" x14ac:dyDescent="0.2">
      <c r="A81" s="11">
        <v>45047</v>
      </c>
      <c r="B81" s="91">
        <v>4741.4931539999998</v>
      </c>
      <c r="C81" s="97">
        <v>1340.05745</v>
      </c>
      <c r="D81" s="91">
        <v>690.82062499999995</v>
      </c>
      <c r="E81" s="91">
        <v>1439.1314010000001</v>
      </c>
      <c r="F81" s="97">
        <v>156.24691099999927</v>
      </c>
      <c r="G81" s="97">
        <v>807.08103900000003</v>
      </c>
      <c r="H81" s="84">
        <v>646.079295</v>
      </c>
      <c r="I81" s="97">
        <v>1287.359635</v>
      </c>
      <c r="J81" s="97">
        <v>179.73860999999999</v>
      </c>
      <c r="K81" s="97">
        <v>0</v>
      </c>
      <c r="L81" s="97">
        <v>3.0079899999999999</v>
      </c>
      <c r="M81" s="97">
        <v>5.1988620000000001</v>
      </c>
      <c r="N81" s="97">
        <v>3418.7267000000002</v>
      </c>
      <c r="O81" s="97">
        <v>418.26545800000002</v>
      </c>
      <c r="P81" s="97">
        <v>181.93396100000001</v>
      </c>
      <c r="Q81" s="97">
        <v>15.956923</v>
      </c>
      <c r="R81" s="97">
        <v>946.05915799999934</v>
      </c>
      <c r="S81" s="97">
        <v>16277.157171999999</v>
      </c>
    </row>
    <row r="82" spans="1:19" ht="15" customHeight="1" x14ac:dyDescent="0.2">
      <c r="A82" s="11">
        <v>45078</v>
      </c>
      <c r="B82" s="91">
        <v>5023.9309569999996</v>
      </c>
      <c r="C82" s="97">
        <v>1589.174033</v>
      </c>
      <c r="D82" s="91">
        <v>735.48184800000001</v>
      </c>
      <c r="E82" s="91">
        <v>891.46913300000006</v>
      </c>
      <c r="F82" s="97">
        <v>120.06344000000001</v>
      </c>
      <c r="G82" s="97">
        <v>651.68955600000004</v>
      </c>
      <c r="H82" s="84">
        <v>582.69416799999999</v>
      </c>
      <c r="I82" s="97">
        <v>1025.7963890000001</v>
      </c>
      <c r="J82" s="97">
        <v>259.44308799999999</v>
      </c>
      <c r="K82" s="97">
        <v>60.260010000000001</v>
      </c>
      <c r="L82" s="97">
        <v>2.8205330000000002</v>
      </c>
      <c r="M82" s="97">
        <v>6.4799759999999997</v>
      </c>
      <c r="N82" s="97">
        <v>2551.3941880000002</v>
      </c>
      <c r="O82" s="97">
        <v>304.34019999999998</v>
      </c>
      <c r="P82" s="97">
        <v>635.93898999999999</v>
      </c>
      <c r="Q82" s="97">
        <v>12.197054</v>
      </c>
      <c r="R82" s="97">
        <v>1113.6223700000003</v>
      </c>
      <c r="S82" s="97">
        <v>15566.795932999999</v>
      </c>
    </row>
    <row r="83" spans="1:19" ht="15" customHeight="1" x14ac:dyDescent="0.2">
      <c r="A83" s="11">
        <v>45108</v>
      </c>
      <c r="B83" s="91">
        <v>5142.7689449999998</v>
      </c>
      <c r="C83" s="97">
        <v>4751.7285529999999</v>
      </c>
      <c r="D83" s="91">
        <v>845.07332699999995</v>
      </c>
      <c r="E83" s="91">
        <v>898.47926600000005</v>
      </c>
      <c r="F83" s="97">
        <v>249.76354300000025</v>
      </c>
      <c r="G83" s="97">
        <v>640.61555499999997</v>
      </c>
      <c r="H83" s="84">
        <v>1006.3707450000001</v>
      </c>
      <c r="I83" s="97">
        <v>1089.580993</v>
      </c>
      <c r="J83" s="97">
        <v>575.37552000000005</v>
      </c>
      <c r="K83" s="97">
        <v>576.28583700000001</v>
      </c>
      <c r="L83" s="97">
        <v>4.824147</v>
      </c>
      <c r="M83" s="97">
        <v>7.4865959999999996</v>
      </c>
      <c r="N83" s="97">
        <v>3194.5539100000001</v>
      </c>
      <c r="O83" s="97">
        <v>326.24294099999997</v>
      </c>
      <c r="P83" s="97">
        <v>185.55911800000001</v>
      </c>
      <c r="Q83" s="97">
        <v>58.964022999999997</v>
      </c>
      <c r="R83" s="97">
        <v>1248.6454489999992</v>
      </c>
      <c r="S83" s="97">
        <v>20802.318468000001</v>
      </c>
    </row>
    <row r="84" spans="1:19" ht="15" customHeight="1" x14ac:dyDescent="0.2">
      <c r="A84" s="11">
        <v>45139</v>
      </c>
      <c r="B84" s="91">
        <v>6593.3231109999997</v>
      </c>
      <c r="C84" s="97">
        <v>6430.1621859999996</v>
      </c>
      <c r="D84" s="91">
        <v>631.94460200000003</v>
      </c>
      <c r="E84" s="91">
        <v>1227.8741050000001</v>
      </c>
      <c r="F84" s="97">
        <v>356.80770200000029</v>
      </c>
      <c r="G84" s="97">
        <v>643.38455699999997</v>
      </c>
      <c r="H84" s="84">
        <v>683.08908199999996</v>
      </c>
      <c r="I84" s="97">
        <v>1073.245774</v>
      </c>
      <c r="J84" s="97">
        <v>759.51197400000001</v>
      </c>
      <c r="K84" s="97">
        <v>243.02258499999999</v>
      </c>
      <c r="L84" s="97">
        <v>1.670256</v>
      </c>
      <c r="M84" s="97">
        <v>4.907044</v>
      </c>
      <c r="N84" s="97">
        <v>2834.9824250000001</v>
      </c>
      <c r="O84" s="97">
        <v>331.54409500000003</v>
      </c>
      <c r="P84" s="97">
        <v>226.14932200000001</v>
      </c>
      <c r="Q84" s="97">
        <v>60.414437999999997</v>
      </c>
      <c r="R84" s="97">
        <v>972.76992600000017</v>
      </c>
      <c r="S84" s="97">
        <v>23074.803184</v>
      </c>
    </row>
    <row r="85" spans="1:19" ht="15" customHeight="1" x14ac:dyDescent="0.2">
      <c r="A85" s="11">
        <v>45170</v>
      </c>
      <c r="B85" s="91">
        <v>6196.5354989999996</v>
      </c>
      <c r="C85" s="97">
        <v>4575.7038009999997</v>
      </c>
      <c r="D85" s="91">
        <v>448.77666699999997</v>
      </c>
      <c r="E85" s="91">
        <v>615.69162700000004</v>
      </c>
      <c r="F85" s="97">
        <v>379.58941900000013</v>
      </c>
      <c r="G85" s="97">
        <v>812.78140399999995</v>
      </c>
      <c r="H85" s="84">
        <v>517.16350399999999</v>
      </c>
      <c r="I85" s="97">
        <v>1072.418128</v>
      </c>
      <c r="J85" s="97">
        <v>429.90346699999998</v>
      </c>
      <c r="K85" s="97">
        <v>158.40285399999999</v>
      </c>
      <c r="L85" s="97">
        <v>4.9258610000000003</v>
      </c>
      <c r="M85" s="97">
        <v>6.2600110000000004</v>
      </c>
      <c r="N85" s="97">
        <v>3367.3067350000001</v>
      </c>
      <c r="O85" s="97">
        <v>354.20555100000001</v>
      </c>
      <c r="P85" s="97">
        <v>102.650964</v>
      </c>
      <c r="Q85" s="97">
        <v>25.250230999999999</v>
      </c>
      <c r="R85" s="97">
        <v>998.66566599999931</v>
      </c>
      <c r="S85" s="97">
        <v>20066.231389</v>
      </c>
    </row>
    <row r="86" spans="1:19" ht="15" customHeight="1" x14ac:dyDescent="0.2">
      <c r="A86" s="11">
        <v>45200</v>
      </c>
      <c r="B86" s="91">
        <v>6727.0908689999997</v>
      </c>
      <c r="C86" s="97">
        <v>2058.9664379999999</v>
      </c>
      <c r="D86" s="91">
        <v>582.71506999999997</v>
      </c>
      <c r="E86" s="91">
        <v>746.72046899999998</v>
      </c>
      <c r="F86" s="97">
        <v>353.97986500000081</v>
      </c>
      <c r="G86" s="97">
        <v>845.95065</v>
      </c>
      <c r="H86" s="84">
        <v>669.33860500000003</v>
      </c>
      <c r="I86" s="97">
        <v>1215.102394</v>
      </c>
      <c r="J86" s="97">
        <v>352.84373900000003</v>
      </c>
      <c r="K86" s="97">
        <v>74.496932000000001</v>
      </c>
      <c r="L86" s="97">
        <v>4.9206830000000004</v>
      </c>
      <c r="M86" s="97">
        <v>14.525179</v>
      </c>
      <c r="N86" s="97">
        <v>2125.0529110000002</v>
      </c>
      <c r="O86" s="97">
        <v>415.83945199999999</v>
      </c>
      <c r="P86" s="97">
        <v>234.50499600000001</v>
      </c>
      <c r="Q86" s="97">
        <v>50.852029999999999</v>
      </c>
      <c r="R86" s="97">
        <v>1000.8723130000008</v>
      </c>
      <c r="S86" s="97">
        <v>17473.772595000002</v>
      </c>
    </row>
    <row r="87" spans="1:19" ht="15" customHeight="1" x14ac:dyDescent="0.2">
      <c r="A87" s="11">
        <v>45231</v>
      </c>
      <c r="B87" s="91">
        <v>7274.1168280000002</v>
      </c>
      <c r="C87" s="97">
        <v>1353.6043970000001</v>
      </c>
      <c r="D87" s="91">
        <v>425.14915500000001</v>
      </c>
      <c r="E87" s="91">
        <v>776.12696800000003</v>
      </c>
      <c r="F87" s="97">
        <v>305.99871899999971</v>
      </c>
      <c r="G87" s="97">
        <v>728.10913200000005</v>
      </c>
      <c r="H87" s="84">
        <v>737.15587800000003</v>
      </c>
      <c r="I87" s="97">
        <v>1149.0177189999999</v>
      </c>
      <c r="J87" s="97">
        <v>340.43005399999998</v>
      </c>
      <c r="K87" s="97">
        <v>21.585315000000001</v>
      </c>
      <c r="L87" s="97">
        <v>14.203801</v>
      </c>
      <c r="M87" s="97">
        <v>20.539816999999999</v>
      </c>
      <c r="N87" s="97">
        <v>648.92297299999996</v>
      </c>
      <c r="O87" s="97">
        <v>368.76980200000003</v>
      </c>
      <c r="P87" s="97">
        <v>79.891182999999998</v>
      </c>
      <c r="Q87" s="97">
        <v>15.877613999999999</v>
      </c>
      <c r="R87" s="97">
        <v>1020.6963640000006</v>
      </c>
      <c r="S87" s="97">
        <v>15280.195718999999</v>
      </c>
    </row>
    <row r="88" spans="1:19" ht="15" customHeight="1" x14ac:dyDescent="0.2">
      <c r="A88" s="11">
        <v>45261</v>
      </c>
      <c r="B88" s="91">
        <v>7008.3926369999999</v>
      </c>
      <c r="C88" s="97">
        <v>1828.3876279999999</v>
      </c>
      <c r="D88" s="91">
        <v>457.13908900000001</v>
      </c>
      <c r="E88" s="91">
        <v>461.361559</v>
      </c>
      <c r="F88" s="97">
        <v>461.00859899999949</v>
      </c>
      <c r="G88" s="97">
        <v>787.49076500000001</v>
      </c>
      <c r="H88" s="84">
        <v>1304.514684</v>
      </c>
      <c r="I88" s="97">
        <v>1069.2454009999999</v>
      </c>
      <c r="J88" s="97">
        <v>274.15487100000001</v>
      </c>
      <c r="K88" s="97">
        <v>2.1463969999999999</v>
      </c>
      <c r="L88" s="97">
        <v>1.8295760000000001</v>
      </c>
      <c r="M88" s="97">
        <v>14.424659</v>
      </c>
      <c r="N88" s="97">
        <v>143.43786</v>
      </c>
      <c r="O88" s="97">
        <v>357.32964399999997</v>
      </c>
      <c r="P88" s="97">
        <v>120.76470500000001</v>
      </c>
      <c r="Q88" s="97">
        <v>37.136139</v>
      </c>
      <c r="R88" s="97">
        <v>1034.625614</v>
      </c>
      <c r="S88" s="97">
        <v>15363.389826999999</v>
      </c>
    </row>
    <row r="89" spans="1:19" ht="15" customHeight="1" x14ac:dyDescent="0.2">
      <c r="A89" s="10" t="s">
        <v>347</v>
      </c>
      <c r="B89" s="90">
        <v>5760.3645880000004</v>
      </c>
      <c r="C89" s="95">
        <v>2224.966531</v>
      </c>
      <c r="D89" s="90">
        <v>203.66561899999999</v>
      </c>
      <c r="E89" s="90">
        <v>550.86060499999996</v>
      </c>
      <c r="F89" s="95">
        <v>219.79921399999989</v>
      </c>
      <c r="G89" s="95">
        <v>613.43153299999994</v>
      </c>
      <c r="H89" s="101">
        <v>554.58227699999998</v>
      </c>
      <c r="I89" s="95">
        <v>1071.479106</v>
      </c>
      <c r="J89" s="95">
        <v>175.68263099999999</v>
      </c>
      <c r="K89" s="95">
        <v>0</v>
      </c>
      <c r="L89" s="95">
        <v>16.805696000000001</v>
      </c>
      <c r="M89" s="95">
        <v>7.69339</v>
      </c>
      <c r="N89" s="95">
        <v>647.28310599999998</v>
      </c>
      <c r="O89" s="95">
        <v>299.738697</v>
      </c>
      <c r="P89" s="95">
        <v>619.27155500000003</v>
      </c>
      <c r="Q89" s="95">
        <v>21.285340999999999</v>
      </c>
      <c r="R89" s="95">
        <v>1078.9240830000001</v>
      </c>
      <c r="S89" s="95">
        <v>14065.833972</v>
      </c>
    </row>
    <row r="90" spans="1:19" ht="15" customHeight="1" x14ac:dyDescent="0.2">
      <c r="A90" s="10" t="s">
        <v>348</v>
      </c>
      <c r="B90" s="90">
        <v>4907.0553360000004</v>
      </c>
      <c r="C90" s="95">
        <v>896.02550699999995</v>
      </c>
      <c r="D90" s="90">
        <v>428.22951499999999</v>
      </c>
      <c r="E90" s="90">
        <v>298.93744600000002</v>
      </c>
      <c r="F90" s="95">
        <v>384.44923599999981</v>
      </c>
      <c r="G90" s="95">
        <v>596.53033100000005</v>
      </c>
      <c r="H90" s="101">
        <v>433.88035600000001</v>
      </c>
      <c r="I90" s="95">
        <v>965.85901899999999</v>
      </c>
      <c r="J90" s="95">
        <v>331.81733800000001</v>
      </c>
      <c r="K90" s="95">
        <v>0.72670900000000005</v>
      </c>
      <c r="L90" s="95">
        <v>4.2097800000000003</v>
      </c>
      <c r="M90" s="95">
        <v>13.427213</v>
      </c>
      <c r="N90" s="95">
        <v>999.354783</v>
      </c>
      <c r="O90" s="95">
        <v>287.224806</v>
      </c>
      <c r="P90" s="95">
        <v>368.68186400000002</v>
      </c>
      <c r="Q90" s="95">
        <v>19.845907</v>
      </c>
      <c r="R90" s="95">
        <v>1091.1372070000002</v>
      </c>
      <c r="S90" s="95">
        <v>12027.392352999999</v>
      </c>
    </row>
    <row r="91" spans="1:19" ht="15" customHeight="1" x14ac:dyDescent="0.2">
      <c r="A91" s="10" t="s">
        <v>349</v>
      </c>
      <c r="B91" s="90">
        <v>3566.7874740000002</v>
      </c>
      <c r="C91" s="95">
        <v>504.05884600000002</v>
      </c>
      <c r="D91" s="90">
        <v>311.39480700000001</v>
      </c>
      <c r="E91" s="90">
        <v>442.12042600000001</v>
      </c>
      <c r="F91" s="95">
        <v>307.85828300000009</v>
      </c>
      <c r="G91" s="95">
        <v>565.63760500000001</v>
      </c>
      <c r="H91" s="101">
        <v>810.58104600000001</v>
      </c>
      <c r="I91" s="95">
        <v>1022.779279</v>
      </c>
      <c r="J91" s="95">
        <v>336.64232399999997</v>
      </c>
      <c r="K91" s="95">
        <v>2.8377530000000002</v>
      </c>
      <c r="L91" s="95">
        <v>1.5272380000000001</v>
      </c>
      <c r="M91" s="95">
        <v>7.0754780000000004</v>
      </c>
      <c r="N91" s="95">
        <v>1821.4509740000001</v>
      </c>
      <c r="O91" s="95">
        <v>208.98317399999999</v>
      </c>
      <c r="P91" s="95">
        <v>153.92137</v>
      </c>
      <c r="Q91" s="95">
        <v>5.154458</v>
      </c>
      <c r="R91" s="95">
        <v>966.7860860000003</v>
      </c>
      <c r="S91" s="95">
        <v>11035.596621000001</v>
      </c>
    </row>
    <row r="92" spans="1:19" ht="15" customHeight="1" x14ac:dyDescent="0.2">
      <c r="A92" s="10" t="s">
        <v>350</v>
      </c>
      <c r="B92" s="90">
        <v>3324.833106</v>
      </c>
      <c r="C92" s="95">
        <v>875.123333</v>
      </c>
      <c r="D92" s="90">
        <v>387.34306400000003</v>
      </c>
      <c r="E92" s="90">
        <v>555.50437999999997</v>
      </c>
      <c r="F92" s="95">
        <v>212.03832399999965</v>
      </c>
      <c r="G92" s="95">
        <v>1061.2276220000001</v>
      </c>
      <c r="H92" s="101">
        <v>362.62764700000002</v>
      </c>
      <c r="I92" s="95">
        <v>916.56738399999995</v>
      </c>
      <c r="J92" s="95">
        <v>306.247928</v>
      </c>
      <c r="K92" s="95">
        <v>0.44602599999999998</v>
      </c>
      <c r="L92" s="95">
        <v>1.9188970000000001</v>
      </c>
      <c r="M92" s="95">
        <v>3.212075</v>
      </c>
      <c r="N92" s="95">
        <v>883.69108300000005</v>
      </c>
      <c r="O92" s="95">
        <v>374.03543300000001</v>
      </c>
      <c r="P92" s="95">
        <v>202.34335100000001</v>
      </c>
      <c r="Q92" s="95">
        <v>50.348390000000002</v>
      </c>
      <c r="R92" s="95">
        <v>1084.9888129999995</v>
      </c>
      <c r="S92" s="95">
        <v>10602.496856</v>
      </c>
    </row>
    <row r="93" spans="1:19" ht="15" customHeight="1" x14ac:dyDescent="0.2">
      <c r="A93" s="10" t="s">
        <v>351</v>
      </c>
      <c r="B93" s="90">
        <v>3012.916068</v>
      </c>
      <c r="C93" s="95">
        <v>3129.169946</v>
      </c>
      <c r="D93" s="90">
        <v>365.950039</v>
      </c>
      <c r="E93" s="90">
        <v>747.91003799999999</v>
      </c>
      <c r="F93" s="95">
        <v>273.72438500000067</v>
      </c>
      <c r="G93" s="95">
        <v>657.69471699999997</v>
      </c>
      <c r="H93" s="101">
        <v>808.86318000000006</v>
      </c>
      <c r="I93" s="95">
        <v>770.96029499999997</v>
      </c>
      <c r="J93" s="95">
        <v>317.25173699999999</v>
      </c>
      <c r="K93" s="95">
        <v>4.0103590000000002</v>
      </c>
      <c r="L93" s="95">
        <v>0.82557000000000003</v>
      </c>
      <c r="M93" s="95">
        <v>7.2734069999999997</v>
      </c>
      <c r="N93" s="95">
        <v>1515.8178250000001</v>
      </c>
      <c r="O93" s="95">
        <v>151.695696</v>
      </c>
      <c r="P93" s="95">
        <v>144.506157</v>
      </c>
      <c r="Q93" s="95">
        <v>15.492421999999999</v>
      </c>
      <c r="R93" s="95">
        <v>1159.057724</v>
      </c>
      <c r="S93" s="95">
        <v>13083.119565000001</v>
      </c>
    </row>
    <row r="94" spans="1:19" ht="15" customHeight="1" x14ac:dyDescent="0.2">
      <c r="A94" s="10" t="s">
        <v>352</v>
      </c>
      <c r="B94" s="90">
        <v>4334.5793839999997</v>
      </c>
      <c r="C94" s="95">
        <v>8459.6564560000006</v>
      </c>
      <c r="D94" s="90">
        <v>245.345339</v>
      </c>
      <c r="E94" s="90">
        <v>953.26171999999997</v>
      </c>
      <c r="F94" s="95">
        <v>317.13106000000153</v>
      </c>
      <c r="G94" s="95">
        <v>875.18564100000003</v>
      </c>
      <c r="H94" s="101">
        <v>485.985681</v>
      </c>
      <c r="I94" s="95">
        <v>1131.2876229999999</v>
      </c>
      <c r="J94" s="95">
        <v>240.92845700000001</v>
      </c>
      <c r="K94" s="95">
        <v>0.364228</v>
      </c>
      <c r="L94" s="95">
        <v>29.949660000000002</v>
      </c>
      <c r="M94" s="95">
        <v>8.7027129999999993</v>
      </c>
      <c r="N94" s="95">
        <v>1088.5343800000001</v>
      </c>
      <c r="O94" s="95">
        <v>294.70648699999998</v>
      </c>
      <c r="P94" s="95">
        <v>332.47472699999997</v>
      </c>
      <c r="Q94" s="95">
        <v>24.672108000000001</v>
      </c>
      <c r="R94" s="95">
        <v>922.93907200000012</v>
      </c>
      <c r="S94" s="95">
        <v>19745.704736</v>
      </c>
    </row>
    <row r="95" spans="1:19" ht="15" customHeight="1" x14ac:dyDescent="0.2">
      <c r="A95" s="10" t="s">
        <v>353</v>
      </c>
      <c r="B95" s="90">
        <v>6242.9775250000002</v>
      </c>
      <c r="C95" s="95">
        <v>10285.121843000001</v>
      </c>
      <c r="D95" s="90">
        <v>536.13619900000003</v>
      </c>
      <c r="E95" s="90">
        <v>1159.5645930000001</v>
      </c>
      <c r="F95" s="95">
        <v>248.01873699999987</v>
      </c>
      <c r="G95" s="95">
        <v>668.91866200000004</v>
      </c>
      <c r="H95" s="95">
        <v>645.87515599999995</v>
      </c>
      <c r="I95" s="95">
        <v>1025.042496</v>
      </c>
      <c r="J95" s="95">
        <v>594.49102300000004</v>
      </c>
      <c r="K95" s="95">
        <v>0.62839999999999996</v>
      </c>
      <c r="L95" s="95">
        <v>3.7072910000000001</v>
      </c>
      <c r="M95" s="95">
        <v>15.293106999999999</v>
      </c>
      <c r="N95" s="95">
        <v>931.41433300000006</v>
      </c>
      <c r="O95" s="95">
        <v>257.55020100000002</v>
      </c>
      <c r="P95" s="133">
        <v>171.93162699999999</v>
      </c>
      <c r="Q95" s="95">
        <v>32.116705000000003</v>
      </c>
      <c r="R95" s="95">
        <v>824.72791699999959</v>
      </c>
      <c r="S95" s="95">
        <v>23643.515814999999</v>
      </c>
    </row>
    <row r="96" spans="1:19" ht="15" customHeight="1" x14ac:dyDescent="0.2">
      <c r="A96" s="10" t="s">
        <v>354</v>
      </c>
      <c r="B96" s="90">
        <v>6403.4902840000004</v>
      </c>
      <c r="C96" s="95">
        <v>7855.4141010000003</v>
      </c>
      <c r="D96" s="95">
        <v>299.935046</v>
      </c>
      <c r="E96" s="95">
        <v>794.85605199999998</v>
      </c>
      <c r="F96" s="95">
        <v>212.1671879999991</v>
      </c>
      <c r="G96" s="95">
        <v>608.40604900000005</v>
      </c>
      <c r="H96" s="95">
        <v>685.99994800000002</v>
      </c>
      <c r="I96" s="95">
        <v>1136.0668639999999</v>
      </c>
      <c r="J96" s="95">
        <v>325.22189700000001</v>
      </c>
      <c r="K96" s="95">
        <v>2.380576</v>
      </c>
      <c r="L96" s="95">
        <v>7.7288300000000003</v>
      </c>
      <c r="M96" s="95">
        <v>9.560727</v>
      </c>
      <c r="N96" s="95">
        <v>1016.613843</v>
      </c>
      <c r="O96" s="95">
        <v>158.623062</v>
      </c>
      <c r="P96" s="95">
        <v>134.52758600000001</v>
      </c>
      <c r="Q96" s="95">
        <v>13.73326</v>
      </c>
      <c r="R96" s="95">
        <v>902.11553900000001</v>
      </c>
      <c r="S96" s="95">
        <v>20566.840852000001</v>
      </c>
    </row>
    <row r="97" spans="1:36" ht="15" customHeight="1" x14ac:dyDescent="0.2">
      <c r="A97" s="10" t="s">
        <v>355</v>
      </c>
      <c r="B97" s="90">
        <v>6701.1166839999996</v>
      </c>
      <c r="C97" s="95">
        <v>6021.7440729999998</v>
      </c>
      <c r="D97" s="95">
        <v>318.820199</v>
      </c>
      <c r="E97" s="95">
        <v>749.29639299999997</v>
      </c>
      <c r="F97" s="95">
        <v>272.30234000000144</v>
      </c>
      <c r="G97" s="95">
        <v>564.97491400000001</v>
      </c>
      <c r="H97" s="95">
        <v>786.68591300000003</v>
      </c>
      <c r="I97" s="95">
        <v>977.10544200000004</v>
      </c>
      <c r="J97" s="95">
        <v>360.271997</v>
      </c>
      <c r="K97" s="95">
        <v>35.817897000000002</v>
      </c>
      <c r="L97" s="95">
        <v>1.7526679999999999</v>
      </c>
      <c r="M97" s="95">
        <v>3.2196729999999998</v>
      </c>
      <c r="N97" s="95">
        <v>441.88513999999998</v>
      </c>
      <c r="O97" s="95">
        <v>153.53437600000001</v>
      </c>
      <c r="P97" s="95">
        <v>534.91848000000005</v>
      </c>
      <c r="Q97" s="95">
        <v>46.507935000000003</v>
      </c>
      <c r="R97" s="95">
        <v>852.45319099999995</v>
      </c>
      <c r="S97" s="95">
        <v>18822.407315</v>
      </c>
    </row>
    <row r="98" spans="1:36" ht="15" customHeight="1" x14ac:dyDescent="0.2">
      <c r="A98" s="10" t="s">
        <v>356</v>
      </c>
      <c r="B98" s="90">
        <v>8611.6538419999997</v>
      </c>
      <c r="C98" s="95">
        <v>4885.8573100000003</v>
      </c>
      <c r="D98" s="95">
        <v>299.27590300000003</v>
      </c>
      <c r="E98" s="95">
        <v>998.19330100000002</v>
      </c>
      <c r="F98" s="95">
        <v>208.22609999999986</v>
      </c>
      <c r="G98" s="95">
        <v>790.95325000000003</v>
      </c>
      <c r="H98" s="95">
        <v>536.94091600000002</v>
      </c>
      <c r="I98" s="95">
        <v>1131.011546</v>
      </c>
      <c r="J98" s="95">
        <v>377.93848000000003</v>
      </c>
      <c r="K98" s="95">
        <v>40.101675</v>
      </c>
      <c r="L98" s="95">
        <v>1.8246690000000001</v>
      </c>
      <c r="M98" s="95">
        <v>4.8279610000000002</v>
      </c>
      <c r="N98" s="95">
        <v>414.86884700000002</v>
      </c>
      <c r="O98" s="95">
        <v>266.49622699999998</v>
      </c>
      <c r="P98" s="95">
        <v>148.593828</v>
      </c>
      <c r="Q98" s="95">
        <v>27.567833</v>
      </c>
      <c r="R98" s="95">
        <v>962.73593800000037</v>
      </c>
      <c r="S98" s="95">
        <v>19707.067626</v>
      </c>
    </row>
    <row r="99" spans="1:36" ht="15" customHeight="1" x14ac:dyDescent="0.2">
      <c r="A99" s="10" t="s">
        <v>357</v>
      </c>
      <c r="B99" s="95">
        <v>7669.6282730000003</v>
      </c>
      <c r="C99" s="95">
        <v>3122.8153649999999</v>
      </c>
      <c r="D99" s="95">
        <v>217.42484400000001</v>
      </c>
      <c r="E99" s="95">
        <v>680.03481799999997</v>
      </c>
      <c r="F99" s="95">
        <v>185.53592499999991</v>
      </c>
      <c r="G99" s="95">
        <v>733.86981200000002</v>
      </c>
      <c r="H99" s="95">
        <v>665.28565400000002</v>
      </c>
      <c r="I99" s="95">
        <v>949.57248000000004</v>
      </c>
      <c r="J99" s="95">
        <v>480.467533</v>
      </c>
      <c r="K99" s="95">
        <v>12.564702</v>
      </c>
      <c r="L99" s="95">
        <v>29.051141999999999</v>
      </c>
      <c r="M99" s="95">
        <v>7.9258829999999998</v>
      </c>
      <c r="N99" s="95">
        <v>838.65533300000004</v>
      </c>
      <c r="O99" s="95">
        <v>248.75847899999999</v>
      </c>
      <c r="P99" s="95">
        <v>261.26482600000003</v>
      </c>
      <c r="Q99" s="95">
        <v>48.562680999999998</v>
      </c>
      <c r="R99" s="95">
        <v>926.19369099999983</v>
      </c>
      <c r="S99" s="95">
        <v>17077.611441000001</v>
      </c>
    </row>
    <row r="100" spans="1:36" ht="15" customHeight="1" x14ac:dyDescent="0.2">
      <c r="A100" s="10" t="s">
        <v>358</v>
      </c>
      <c r="B100" s="95">
        <v>7417.6215949999996</v>
      </c>
      <c r="C100" s="95">
        <v>4652.75425</v>
      </c>
      <c r="D100" s="95">
        <v>388.69910199999998</v>
      </c>
      <c r="E100" s="95">
        <v>980.00736700000004</v>
      </c>
      <c r="F100" s="95">
        <v>192.48976200000072</v>
      </c>
      <c r="G100" s="95">
        <v>857.95463299999994</v>
      </c>
      <c r="H100" s="95">
        <v>975.41567499999996</v>
      </c>
      <c r="I100" s="95">
        <v>1076.7676240000001</v>
      </c>
      <c r="J100" s="95">
        <v>273.17558000000002</v>
      </c>
      <c r="K100" s="95">
        <v>10.53598</v>
      </c>
      <c r="L100" s="95">
        <v>43.337674</v>
      </c>
      <c r="M100" s="95">
        <v>8.6618670000000009</v>
      </c>
      <c r="N100" s="95">
        <v>998.77963299999999</v>
      </c>
      <c r="O100" s="95">
        <v>210.12120100000001</v>
      </c>
      <c r="P100" s="95">
        <v>226.407206</v>
      </c>
      <c r="Q100" s="95">
        <v>23.566448999999999</v>
      </c>
      <c r="R100" s="95">
        <v>1037.998527</v>
      </c>
      <c r="S100" s="95">
        <v>19374.294125</v>
      </c>
    </row>
    <row r="101" spans="1:36" ht="15" customHeight="1" x14ac:dyDescent="0.2">
      <c r="A101" s="11" t="s">
        <v>296</v>
      </c>
      <c r="B101" s="150">
        <v>4786.4458830000003</v>
      </c>
      <c r="C101" s="151">
        <v>4130.2396070000004</v>
      </c>
      <c r="D101" s="151">
        <v>1406.7135510000001</v>
      </c>
      <c r="E101" s="151">
        <v>611.60171600000001</v>
      </c>
      <c r="F101" s="151">
        <v>222.2149419999995</v>
      </c>
      <c r="G101" s="151">
        <v>696.81420800000001</v>
      </c>
      <c r="H101" s="151">
        <v>336.85656599999999</v>
      </c>
      <c r="I101" s="151">
        <v>967.78483100000005</v>
      </c>
      <c r="J101" s="151">
        <v>311.51771400000001</v>
      </c>
      <c r="K101" s="151">
        <v>0.68025100000000005</v>
      </c>
      <c r="L101" s="151">
        <v>2.8252290000000002</v>
      </c>
      <c r="M101" s="151">
        <v>14.947483999999999</v>
      </c>
      <c r="N101" s="151">
        <v>589.69751699999995</v>
      </c>
      <c r="O101" s="151">
        <v>151.88592600000001</v>
      </c>
      <c r="P101" s="151">
        <v>412.89916599999998</v>
      </c>
      <c r="Q101" s="151">
        <v>5.612921</v>
      </c>
      <c r="R101" s="151">
        <v>1030.2462940000003</v>
      </c>
      <c r="S101" s="150">
        <v>15678.983806</v>
      </c>
      <c r="AH101" s="102" t="s">
        <v>182</v>
      </c>
      <c r="AJ101" s="103"/>
    </row>
    <row r="102" spans="1:36" ht="15" customHeight="1" x14ac:dyDescent="0.2">
      <c r="A102" s="11" t="s">
        <v>297</v>
      </c>
      <c r="B102" s="150">
        <v>5474.7884990000002</v>
      </c>
      <c r="C102" s="151">
        <v>2742.3014600000001</v>
      </c>
      <c r="D102" s="151">
        <v>1783.3441210000001</v>
      </c>
      <c r="E102" s="151">
        <v>1077.745453</v>
      </c>
      <c r="F102" s="151">
        <v>159.11452499999905</v>
      </c>
      <c r="G102" s="151">
        <v>355.62115499999999</v>
      </c>
      <c r="H102" s="151">
        <v>773.64552000000003</v>
      </c>
      <c r="I102" s="151">
        <v>691.91690700000004</v>
      </c>
      <c r="J102" s="151">
        <v>389.73598800000002</v>
      </c>
      <c r="K102" s="151">
        <v>0.354236</v>
      </c>
      <c r="L102" s="151">
        <v>0.32271300000000003</v>
      </c>
      <c r="M102" s="151">
        <v>8.3831070000000008</v>
      </c>
      <c r="N102" s="151">
        <v>778.30411800000002</v>
      </c>
      <c r="O102" s="151">
        <v>1.7450619999999999</v>
      </c>
      <c r="P102" s="151">
        <v>217.38746599999999</v>
      </c>
      <c r="Q102" s="151">
        <v>21.730070999999999</v>
      </c>
      <c r="R102" s="151">
        <v>864.89456899999993</v>
      </c>
      <c r="S102" s="150">
        <v>15341.33497</v>
      </c>
    </row>
    <row r="103" spans="1:36" x14ac:dyDescent="0.2">
      <c r="A103" s="11" t="s">
        <v>298</v>
      </c>
      <c r="B103" s="150">
        <v>5809.8336170000002</v>
      </c>
      <c r="C103" s="151">
        <v>3772.7576290000002</v>
      </c>
      <c r="D103" s="151">
        <v>1895.12274</v>
      </c>
      <c r="E103" s="151">
        <v>541.16028700000004</v>
      </c>
      <c r="F103" s="151">
        <v>234.03321299999959</v>
      </c>
      <c r="G103" s="151">
        <v>480.18561799999998</v>
      </c>
      <c r="H103" s="151">
        <v>409.22571299999998</v>
      </c>
      <c r="I103" s="151">
        <v>944.14857900000004</v>
      </c>
      <c r="J103" s="151">
        <v>486.95399700000002</v>
      </c>
      <c r="K103" s="151">
        <v>2.58168</v>
      </c>
      <c r="L103" s="151">
        <v>1.30894</v>
      </c>
      <c r="M103" s="151">
        <v>9.5356670000000001</v>
      </c>
      <c r="N103" s="151">
        <v>964.69532000000004</v>
      </c>
      <c r="O103" s="151">
        <v>61.763289999999998</v>
      </c>
      <c r="P103" s="151">
        <v>290.782579</v>
      </c>
      <c r="Q103" s="151">
        <v>16.954723999999999</v>
      </c>
      <c r="R103" s="151">
        <v>1042.0872650000001</v>
      </c>
      <c r="S103" s="150">
        <v>16963.130858</v>
      </c>
    </row>
    <row r="104" spans="1:36" x14ac:dyDescent="0.2">
      <c r="A104" s="11" t="s">
        <v>299</v>
      </c>
      <c r="B104" s="150">
        <v>2987.3542389999998</v>
      </c>
      <c r="C104" s="151">
        <v>2455.224021</v>
      </c>
      <c r="D104" s="151">
        <v>806.57531600000004</v>
      </c>
      <c r="E104" s="151">
        <v>624.43786799999998</v>
      </c>
      <c r="F104" s="151">
        <v>260.88524600000108</v>
      </c>
      <c r="G104" s="151">
        <v>1340.790281</v>
      </c>
      <c r="H104" s="151">
        <v>460.22528499999999</v>
      </c>
      <c r="I104" s="151">
        <v>1407.816791</v>
      </c>
      <c r="J104" s="151">
        <v>615.35983699999997</v>
      </c>
      <c r="K104" s="151">
        <v>0.885876</v>
      </c>
      <c r="L104" s="151">
        <v>6.09612</v>
      </c>
      <c r="M104" s="151">
        <v>8.2525539999999999</v>
      </c>
      <c r="N104" s="151">
        <v>933.70085400000005</v>
      </c>
      <c r="O104" s="151">
        <v>881.34075900000005</v>
      </c>
      <c r="P104" s="151">
        <v>89.771763000000007</v>
      </c>
      <c r="Q104" s="151">
        <v>28.379382</v>
      </c>
      <c r="R104" s="151">
        <v>1168.7568709999994</v>
      </c>
      <c r="S104" s="150">
        <v>14075.853063000002</v>
      </c>
    </row>
    <row r="105" spans="1:36" x14ac:dyDescent="0.2">
      <c r="A105" s="11" t="s">
        <v>300</v>
      </c>
      <c r="B105" s="150">
        <v>5035.8572780000004</v>
      </c>
      <c r="C105" s="151">
        <v>2896.6650260000001</v>
      </c>
      <c r="D105" s="151">
        <v>478.315744</v>
      </c>
      <c r="E105" s="151">
        <v>426.17803800000002</v>
      </c>
      <c r="F105" s="151">
        <v>234.88475899999958</v>
      </c>
      <c r="G105" s="151">
        <v>518.60240299999998</v>
      </c>
      <c r="H105" s="151">
        <v>667.20453199999997</v>
      </c>
      <c r="I105" s="151">
        <v>949.14302899999996</v>
      </c>
      <c r="J105" s="151">
        <v>440.868267</v>
      </c>
      <c r="K105" s="151">
        <v>1.1996E-2</v>
      </c>
      <c r="L105" s="151">
        <v>0.91634599999999999</v>
      </c>
      <c r="M105" s="151">
        <v>11.191526</v>
      </c>
      <c r="N105" s="151">
        <v>2899.8580929999998</v>
      </c>
      <c r="O105" s="151">
        <v>111.589682</v>
      </c>
      <c r="P105" s="151">
        <v>233.05808200000001</v>
      </c>
      <c r="Q105" s="151">
        <v>11.015356000000001</v>
      </c>
      <c r="R105" s="151">
        <v>962.21098000000086</v>
      </c>
      <c r="S105" s="150">
        <v>15877.571137000001</v>
      </c>
    </row>
    <row r="106" spans="1:36" x14ac:dyDescent="0.2">
      <c r="A106" s="11" t="s">
        <v>301</v>
      </c>
      <c r="B106" s="150">
        <v>5407.4309629999998</v>
      </c>
      <c r="C106" s="151">
        <v>3597.091379</v>
      </c>
      <c r="D106" s="151">
        <v>710.48462600000005</v>
      </c>
      <c r="E106" s="151">
        <v>444.636529</v>
      </c>
      <c r="F106" s="151">
        <v>264.44140900000025</v>
      </c>
      <c r="G106" s="151">
        <v>661.33728299999996</v>
      </c>
      <c r="H106" s="151">
        <v>578.93225500000005</v>
      </c>
      <c r="I106" s="151">
        <v>959.55694400000004</v>
      </c>
      <c r="J106" s="151">
        <v>317.01282200000003</v>
      </c>
      <c r="K106" s="151">
        <v>39.200287000000003</v>
      </c>
      <c r="L106" s="151">
        <v>1.4582459999999999</v>
      </c>
      <c r="M106" s="151">
        <v>5.786079</v>
      </c>
      <c r="N106" s="151">
        <v>1746.17949</v>
      </c>
      <c r="O106" s="151">
        <v>42.352697999999997</v>
      </c>
      <c r="P106" s="151">
        <v>156.11093099999999</v>
      </c>
      <c r="Q106" s="151">
        <v>22.956306999999999</v>
      </c>
      <c r="R106" s="151">
        <v>1462.9801309999998</v>
      </c>
      <c r="S106" s="150">
        <v>16417.948379000001</v>
      </c>
    </row>
    <row r="107" spans="1:36" x14ac:dyDescent="0.2">
      <c r="A107" s="11" t="s">
        <v>363</v>
      </c>
      <c r="B107" s="150">
        <v>6185.5278150000004</v>
      </c>
      <c r="C107" s="151">
        <v>1977.5355460000001</v>
      </c>
      <c r="D107" s="151">
        <v>459.074725</v>
      </c>
      <c r="E107" s="151">
        <v>1858.146614</v>
      </c>
      <c r="F107" s="151">
        <v>302.63173699999948</v>
      </c>
      <c r="G107" s="151">
        <v>1882.8816589999999</v>
      </c>
      <c r="H107" s="151">
        <v>407.54636699999998</v>
      </c>
      <c r="I107" s="151">
        <v>1943.2824169999999</v>
      </c>
      <c r="J107" s="151">
        <v>342.10457200000002</v>
      </c>
      <c r="K107" s="151">
        <v>339.83140300000002</v>
      </c>
      <c r="L107" s="151">
        <v>20.012007000000001</v>
      </c>
      <c r="M107" s="151">
        <v>15.550394000000001</v>
      </c>
      <c r="N107" s="151">
        <v>1174.7298659999999</v>
      </c>
      <c r="O107" s="151">
        <v>1173.9037040000001</v>
      </c>
      <c r="P107" s="151">
        <v>360.93482399999999</v>
      </c>
      <c r="Q107" s="151">
        <v>34.196167000000003</v>
      </c>
      <c r="R107" s="151">
        <v>1948.3287119999995</v>
      </c>
      <c r="S107" s="150">
        <v>20426.218529000002</v>
      </c>
    </row>
    <row r="108" spans="1:36" x14ac:dyDescent="0.2">
      <c r="A108" s="11" t="s">
        <v>364</v>
      </c>
      <c r="B108" s="150">
        <v>9149.9969010000004</v>
      </c>
      <c r="C108" s="151">
        <v>1626.307194</v>
      </c>
      <c r="D108" s="151">
        <v>293.57789400000001</v>
      </c>
      <c r="E108" s="151">
        <v>1025.606274</v>
      </c>
      <c r="F108" s="151">
        <v>225.22805199999925</v>
      </c>
      <c r="G108" s="151">
        <v>760.45737299999996</v>
      </c>
      <c r="H108" s="151">
        <v>1246.3716099999999</v>
      </c>
      <c r="I108" s="151">
        <v>1428.173738</v>
      </c>
      <c r="J108" s="151">
        <v>361.62872599999997</v>
      </c>
      <c r="K108" s="151">
        <v>591.98823900000002</v>
      </c>
      <c r="L108" s="151">
        <v>4.0596920000000001</v>
      </c>
      <c r="M108" s="151">
        <v>12.275930000000001</v>
      </c>
      <c r="N108" s="151">
        <v>2166.7407579999999</v>
      </c>
      <c r="O108" s="151">
        <v>335.14488899999998</v>
      </c>
      <c r="P108" s="151">
        <v>252.424577</v>
      </c>
      <c r="Q108" s="151">
        <v>3.6510060000000002</v>
      </c>
      <c r="R108" s="151">
        <v>1417.3896800000011</v>
      </c>
      <c r="S108" s="150">
        <v>20901.022532999999</v>
      </c>
    </row>
    <row r="109" spans="1:36" x14ac:dyDescent="0.2">
      <c r="A109" s="11" t="s">
        <v>365</v>
      </c>
      <c r="B109" s="150">
        <v>7918.2701500000003</v>
      </c>
      <c r="C109" s="151">
        <v>2844.0112589999999</v>
      </c>
      <c r="D109" s="151">
        <v>431.51582100000002</v>
      </c>
      <c r="E109" s="151">
        <v>1209.418267</v>
      </c>
      <c r="F109" s="151">
        <v>247.52041000000008</v>
      </c>
      <c r="G109" s="151">
        <v>1242.4043360000001</v>
      </c>
      <c r="H109" s="151">
        <v>733.05098199999998</v>
      </c>
      <c r="I109" s="151">
        <v>1597.702912</v>
      </c>
      <c r="J109" s="151">
        <v>446.17915199999999</v>
      </c>
      <c r="K109" s="151">
        <v>311.50726600000002</v>
      </c>
      <c r="L109" s="151">
        <v>6.085966</v>
      </c>
      <c r="M109" s="151">
        <v>26.001573</v>
      </c>
      <c r="N109" s="151">
        <v>2434.4617389999999</v>
      </c>
      <c r="O109" s="151">
        <v>582.82722100000001</v>
      </c>
      <c r="P109" s="151">
        <v>511.28456699999998</v>
      </c>
      <c r="Q109" s="151">
        <v>49.295032999999997</v>
      </c>
      <c r="R109" s="151">
        <v>1268.6065980000021</v>
      </c>
      <c r="S109" s="150">
        <v>21860.143252000002</v>
      </c>
    </row>
    <row r="110" spans="1:36" x14ac:dyDescent="0.2">
      <c r="A110" s="11" t="s">
        <v>366</v>
      </c>
      <c r="B110" s="150">
        <v>8061.0276530000001</v>
      </c>
      <c r="C110" s="151">
        <v>1929.505615</v>
      </c>
      <c r="D110" s="151">
        <v>355.78426899999999</v>
      </c>
      <c r="E110" s="151">
        <v>952.31899999999996</v>
      </c>
      <c r="F110" s="151">
        <v>190.64703399999985</v>
      </c>
      <c r="G110" s="151">
        <v>678.55350599999997</v>
      </c>
      <c r="H110" s="151">
        <v>1007.649771</v>
      </c>
      <c r="I110" s="151">
        <v>1183.935401</v>
      </c>
      <c r="J110" s="151">
        <v>910.79710599999999</v>
      </c>
      <c r="K110" s="151">
        <v>142.269654</v>
      </c>
      <c r="L110" s="151">
        <v>2.8232400000000002</v>
      </c>
      <c r="M110" s="151">
        <v>20.298784999999999</v>
      </c>
      <c r="N110" s="151">
        <v>2157.6803559999998</v>
      </c>
      <c r="O110" s="151">
        <v>260.25709499999999</v>
      </c>
      <c r="P110" s="151">
        <v>263.85657900000001</v>
      </c>
      <c r="Q110" s="151">
        <v>46.516115999999997</v>
      </c>
      <c r="R110" s="151">
        <v>1038.7081930000004</v>
      </c>
      <c r="S110" s="150">
        <v>19202.629373</v>
      </c>
    </row>
    <row r="111" spans="1:36" x14ac:dyDescent="0.2">
      <c r="A111" s="11" t="s">
        <v>367</v>
      </c>
      <c r="B111" s="150">
        <v>7951.478494</v>
      </c>
      <c r="C111" s="151">
        <v>1891.162433</v>
      </c>
      <c r="D111" s="151">
        <v>411.850999</v>
      </c>
      <c r="E111" s="151">
        <v>753.15282400000001</v>
      </c>
      <c r="F111" s="151">
        <v>330.26437199999918</v>
      </c>
      <c r="G111" s="151">
        <v>763.38260700000001</v>
      </c>
      <c r="H111" s="151">
        <v>364.74599899999998</v>
      </c>
      <c r="I111" s="151">
        <v>1171.738173</v>
      </c>
      <c r="J111" s="151">
        <v>380.513285</v>
      </c>
      <c r="K111" s="151">
        <v>170.281127</v>
      </c>
      <c r="L111" s="151">
        <v>0.96807500000000002</v>
      </c>
      <c r="M111" s="151">
        <v>14.287105</v>
      </c>
      <c r="N111" s="151">
        <v>2914.2932540000002</v>
      </c>
      <c r="O111" s="151">
        <v>213.010335</v>
      </c>
      <c r="P111" s="151">
        <v>286.886145</v>
      </c>
      <c r="Q111" s="151">
        <v>9.8669220000000006</v>
      </c>
      <c r="R111" s="151">
        <v>943.55448200000012</v>
      </c>
      <c r="S111" s="150">
        <v>18571.436631</v>
      </c>
    </row>
    <row r="112" spans="1:36" x14ac:dyDescent="0.2">
      <c r="A112" s="11" t="s">
        <v>368</v>
      </c>
      <c r="B112" s="150">
        <v>9256.4114079999999</v>
      </c>
      <c r="C112" s="151">
        <v>2660.273666</v>
      </c>
      <c r="D112" s="151">
        <v>446.02792699999998</v>
      </c>
      <c r="E112" s="151">
        <v>860.42304799999999</v>
      </c>
      <c r="F112" s="151">
        <v>295.59724899999912</v>
      </c>
      <c r="G112" s="151">
        <v>1012.6248859999999</v>
      </c>
      <c r="H112" s="151">
        <v>1057.6997269999999</v>
      </c>
      <c r="I112" s="151">
        <v>1437.291131</v>
      </c>
      <c r="J112" s="151">
        <v>285.07810699999999</v>
      </c>
      <c r="K112" s="151">
        <v>142.03603699999999</v>
      </c>
      <c r="L112" s="151">
        <v>22.967230000000001</v>
      </c>
      <c r="M112" s="151">
        <v>13.497750999999999</v>
      </c>
      <c r="N112" s="151">
        <v>2552.8329279999998</v>
      </c>
      <c r="O112" s="151">
        <v>406.91487999999998</v>
      </c>
      <c r="P112" s="151">
        <v>244.51962</v>
      </c>
      <c r="Q112" s="151">
        <v>37.930393000000002</v>
      </c>
      <c r="R112" s="151">
        <v>764.26755700000001</v>
      </c>
      <c r="S112" s="150">
        <v>21496.393544999999</v>
      </c>
    </row>
    <row r="113" spans="1:19" x14ac:dyDescent="0.2">
      <c r="A113" s="169" t="s">
        <v>376</v>
      </c>
      <c r="B113" s="182">
        <v>7917.5216909999999</v>
      </c>
      <c r="C113" s="182">
        <v>2537.3458700000001</v>
      </c>
      <c r="D113" s="182">
        <v>232.441202</v>
      </c>
      <c r="E113" s="182">
        <v>397.99634600000002</v>
      </c>
      <c r="F113" s="182">
        <v>226.79220299999986</v>
      </c>
      <c r="G113" s="182">
        <v>1226.0932869999999</v>
      </c>
      <c r="H113" s="182">
        <v>1124.3340720000001</v>
      </c>
      <c r="I113" s="182">
        <v>1623.4423750000001</v>
      </c>
      <c r="J113" s="182">
        <v>425.57714099999998</v>
      </c>
      <c r="K113" s="182">
        <v>113.22527100000001</v>
      </c>
      <c r="L113" s="182">
        <v>22.28708</v>
      </c>
      <c r="M113" s="182">
        <v>11.489299000000001</v>
      </c>
      <c r="N113" s="182">
        <v>2489.3265900000001</v>
      </c>
      <c r="O113" s="182">
        <v>664.69720099999995</v>
      </c>
      <c r="P113" s="182">
        <v>258.43043</v>
      </c>
      <c r="Q113" s="182">
        <v>20.805693999999999</v>
      </c>
      <c r="R113" s="182">
        <v>1031.138377</v>
      </c>
      <c r="S113" s="182">
        <v>20322.944129</v>
      </c>
    </row>
    <row r="114" spans="1:19" x14ac:dyDescent="0.2">
      <c r="A114" s="169" t="s">
        <v>378</v>
      </c>
      <c r="B114" s="182">
        <v>8147.8517240000001</v>
      </c>
      <c r="C114" s="182">
        <v>2415.9603630000001</v>
      </c>
      <c r="D114" s="182">
        <v>516.47890299999995</v>
      </c>
      <c r="E114" s="182">
        <v>537.64248699999996</v>
      </c>
      <c r="F114" s="182">
        <v>234.64105699999925</v>
      </c>
      <c r="G114" s="182">
        <v>312.49020000000002</v>
      </c>
      <c r="H114" s="182">
        <v>646.030711</v>
      </c>
      <c r="I114" s="182">
        <v>920.11064799999997</v>
      </c>
      <c r="J114" s="182">
        <v>308.80456199999998</v>
      </c>
      <c r="K114" s="182">
        <v>87.344965000000002</v>
      </c>
      <c r="L114" s="182">
        <v>1.6398239999999999</v>
      </c>
      <c r="M114" s="182">
        <v>10.664097999999999</v>
      </c>
      <c r="N114" s="182">
        <v>1812.570545</v>
      </c>
      <c r="O114" s="182">
        <v>49.103228000000001</v>
      </c>
      <c r="P114" s="182">
        <v>424.57940400000001</v>
      </c>
      <c r="Q114" s="182">
        <v>54.063867000000002</v>
      </c>
      <c r="R114" s="182">
        <v>808.18243500000005</v>
      </c>
      <c r="S114" s="182">
        <v>17288.159020999999</v>
      </c>
    </row>
    <row r="115" spans="1:19" x14ac:dyDescent="0.2">
      <c r="A115" s="169" t="s">
        <v>377</v>
      </c>
      <c r="B115" s="182">
        <v>7408.9614339999998</v>
      </c>
      <c r="C115" s="182">
        <v>1955.58169</v>
      </c>
      <c r="D115" s="182">
        <v>459.69962900000002</v>
      </c>
      <c r="E115" s="182">
        <v>837.66208700000004</v>
      </c>
      <c r="F115" s="182">
        <v>253.58946000000049</v>
      </c>
      <c r="G115" s="182">
        <v>730.79067099999997</v>
      </c>
      <c r="H115" s="182">
        <v>602.92007599999999</v>
      </c>
      <c r="I115" s="182">
        <v>953.09788400000002</v>
      </c>
      <c r="J115" s="182">
        <v>386.18168200000002</v>
      </c>
      <c r="K115" s="182">
        <v>7.4829829999999999</v>
      </c>
      <c r="L115" s="182">
        <v>3.085216</v>
      </c>
      <c r="M115" s="182">
        <v>13.205973</v>
      </c>
      <c r="N115" s="182">
        <v>1518.667048</v>
      </c>
      <c r="O115" s="182">
        <v>236.686376</v>
      </c>
      <c r="P115" s="182">
        <v>375.46448700000002</v>
      </c>
      <c r="Q115" s="182">
        <v>88.318256000000005</v>
      </c>
      <c r="R115" s="182">
        <v>736.72353200000066</v>
      </c>
      <c r="S115" s="182">
        <v>16568.118484000002</v>
      </c>
    </row>
    <row r="116" spans="1:19" x14ac:dyDescent="0.2">
      <c r="A116" s="171" t="s">
        <v>398</v>
      </c>
      <c r="B116" s="183">
        <v>4959.2665829999996</v>
      </c>
      <c r="C116" s="183">
        <v>1177.6982909999999</v>
      </c>
      <c r="D116" s="183">
        <v>674.62810999999999</v>
      </c>
      <c r="E116" s="183">
        <v>553.72240799999997</v>
      </c>
      <c r="F116" s="183">
        <v>229.96234100000038</v>
      </c>
      <c r="G116" s="183">
        <v>1260.1945310000001</v>
      </c>
      <c r="H116" s="183">
        <v>322.552907</v>
      </c>
      <c r="I116" s="183">
        <v>1114.66554</v>
      </c>
      <c r="J116" s="183">
        <v>383.12034899999998</v>
      </c>
      <c r="K116" s="183">
        <v>22.938099999999999</v>
      </c>
      <c r="L116" s="183">
        <v>15.121209</v>
      </c>
      <c r="M116" s="183">
        <v>11.535208000000001</v>
      </c>
      <c r="N116" s="183">
        <v>1656.7335869999999</v>
      </c>
      <c r="O116" s="183">
        <v>711.95697399999995</v>
      </c>
      <c r="P116" s="183">
        <v>563.59404099999995</v>
      </c>
      <c r="Q116" s="183">
        <v>58.813338000000002</v>
      </c>
      <c r="R116" s="183">
        <v>761.24701600000117</v>
      </c>
      <c r="S116" s="183">
        <v>14477.750532999999</v>
      </c>
    </row>
    <row r="117" spans="1:19" x14ac:dyDescent="0.2">
      <c r="A117" s="19" t="s">
        <v>111</v>
      </c>
      <c r="C117" s="32"/>
      <c r="D117" s="32"/>
      <c r="E117" s="32"/>
      <c r="F117" s="32"/>
      <c r="G117" s="32"/>
      <c r="H117" s="32"/>
      <c r="I117" s="32"/>
      <c r="J117" s="32"/>
      <c r="K117" s="32"/>
      <c r="L117" s="32"/>
      <c r="M117" s="32"/>
      <c r="N117" s="32"/>
      <c r="O117" s="32"/>
      <c r="P117" s="32"/>
      <c r="Q117" s="32"/>
      <c r="R117" s="190" t="s">
        <v>319</v>
      </c>
      <c r="S117" s="19" t="s">
        <v>113</v>
      </c>
    </row>
    <row r="118" spans="1:19" x14ac:dyDescent="0.2">
      <c r="C118" s="79"/>
      <c r="D118" s="79"/>
      <c r="E118" s="79"/>
      <c r="F118" s="79"/>
      <c r="G118" s="79"/>
      <c r="H118" s="79"/>
      <c r="I118" s="79"/>
      <c r="J118" s="79"/>
      <c r="K118" s="79"/>
      <c r="L118" s="79"/>
      <c r="M118" s="79"/>
      <c r="N118" s="79"/>
      <c r="O118" s="79"/>
      <c r="P118" s="79"/>
      <c r="Q118" s="79"/>
      <c r="R118" s="79"/>
    </row>
  </sheetData>
  <mergeCells count="7">
    <mergeCell ref="G6:G7"/>
    <mergeCell ref="H6:H7"/>
    <mergeCell ref="I6:R6"/>
    <mergeCell ref="S6:S7"/>
    <mergeCell ref="A4:S4"/>
    <mergeCell ref="A6:A7"/>
    <mergeCell ref="B6:F6"/>
  </mergeCells>
  <phoneticPr fontId="19" type="noConversion"/>
  <hyperlinks>
    <hyperlink ref="S2" location="Contents!A1" display="Back to Contents" xr:uid="{F7EAD8C2-E448-4B57-AF10-3A2BAF060819}"/>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12</vt:i4>
      </vt:variant>
    </vt:vector>
  </HeadingPairs>
  <TitlesOfParts>
    <vt:vector size="36" baseType="lpstr">
      <vt:lpstr>Contents</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 </vt:lpstr>
      <vt:lpstr>TABLE 45</vt:lpstr>
      <vt:lpstr>TABLE 46</vt:lpstr>
      <vt:lpstr>TABLE 46(Cont.)</vt:lpstr>
      <vt:lpstr>TABLE 47</vt:lpstr>
      <vt:lpstr>TABLE 48</vt:lpstr>
      <vt:lpstr>TABLE 49</vt:lpstr>
      <vt:lpstr>TABLE 50</vt:lpstr>
      <vt:lpstr>'TABLE 31'!Print_Area</vt:lpstr>
      <vt:lpstr>'TABLE 33'!Print_Area</vt:lpstr>
      <vt:lpstr>'TABLE 34'!Print_Area</vt:lpstr>
      <vt:lpstr>'TABLE 38'!Print_Area</vt:lpstr>
      <vt:lpstr>'TABLE 46'!Print_Area</vt:lpstr>
      <vt:lpstr>'TABLE 46(Cont.)'!Print_Area</vt:lpstr>
      <vt:lpstr>'TABLE 47'!Print_Area</vt:lpstr>
      <vt:lpstr>'TABLE 48'!Print_Area</vt:lpstr>
      <vt:lpstr>'TABLE 49'!Print_Area</vt:lpstr>
      <vt:lpstr>'TABLE 50'!Print_Area</vt:lpstr>
      <vt:lpstr>'TABLE 46(Cont.)'!Print_Titles</vt:lpstr>
      <vt:lpstr>'TABLE 47'!Print_Titles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Wathugala WGPR</dc:creator>
  <cp:lastModifiedBy>Wathugala WGPR</cp:lastModifiedBy>
  <cp:lastPrinted>2025-04-04T21:27:39Z</cp:lastPrinted>
  <dcterms:created xsi:type="dcterms:W3CDTF">2024-04-22T03:50:41Z</dcterms:created>
  <dcterms:modified xsi:type="dcterms:W3CDTF">2026-07-17T03:17:08Z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2024-04-22T03:50:45Z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a73e9330-4f81-44a7-8a5b-16b38ae1a098</vt:lpwstr>
  </property>
  <property fmtid="{D5CDD505-2E9C-101B-9397-08002B2CF9AE}" pid="8" name="MSIP_Label_83c4ab6a-b8f9-4a41-a9e3-9d9b3c522aed_ContentBits">
    <vt:lpwstr>1</vt:lpwstr>
  </property>
</Properties>
</file>