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F0964A12-789E-4564-AA88-E4F0C84BB7FB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4" l="1"/>
  <c r="I7" i="4"/>
  <c r="I19" i="4" s="1"/>
  <c r="G19" i="4"/>
  <c r="O18" i="4" s="1"/>
  <c r="H19" i="4"/>
  <c r="P10" i="4" s="1"/>
  <c r="C7" i="4"/>
  <c r="K7" i="4" s="1"/>
  <c r="P12" i="4"/>
  <c r="P11" i="4"/>
  <c r="O11" i="4"/>
  <c r="O10" i="4"/>
  <c r="C13" i="4"/>
  <c r="C19" i="4" s="1"/>
  <c r="D13" i="4"/>
  <c r="E13" i="4"/>
  <c r="E19" i="4" s="1"/>
  <c r="F13" i="4"/>
  <c r="G13" i="4"/>
  <c r="H13" i="4"/>
  <c r="J19" i="4"/>
  <c r="I13" i="4"/>
  <c r="J7" i="4"/>
  <c r="H7" i="4"/>
  <c r="G7" i="4"/>
  <c r="E7" i="4"/>
  <c r="F7" i="4"/>
  <c r="D7" i="4"/>
  <c r="R18" i="4" l="1"/>
  <c r="R11" i="4"/>
  <c r="R10" i="4"/>
  <c r="R17" i="4"/>
  <c r="R12" i="4"/>
  <c r="L7" i="4"/>
  <c r="K17" i="4"/>
  <c r="K18" i="4"/>
  <c r="K15" i="4"/>
  <c r="K6" i="4"/>
  <c r="K14" i="4"/>
  <c r="K13" i="4"/>
  <c r="K12" i="4"/>
  <c r="K10" i="4"/>
  <c r="K9" i="4"/>
  <c r="K19" i="4"/>
  <c r="K11" i="4"/>
  <c r="K8" i="4"/>
  <c r="K16" i="4"/>
  <c r="Q12" i="4"/>
  <c r="Q17" i="4"/>
  <c r="Q18" i="4"/>
  <c r="Q10" i="4"/>
  <c r="Q11" i="4"/>
  <c r="M18" i="4"/>
  <c r="M17" i="4"/>
  <c r="M15" i="4"/>
  <c r="M11" i="4"/>
  <c r="M9" i="4"/>
  <c r="M19" i="4"/>
  <c r="M6" i="4"/>
  <c r="M14" i="4"/>
  <c r="M10" i="4"/>
  <c r="M8" i="4"/>
  <c r="O12" i="4"/>
  <c r="O17" i="4"/>
  <c r="R13" i="4"/>
  <c r="P17" i="4"/>
  <c r="F19" i="4"/>
  <c r="D19" i="4"/>
  <c r="P18" i="4"/>
  <c r="M16" i="4"/>
  <c r="M13" i="4"/>
  <c r="M7" i="4"/>
  <c r="M12" i="4"/>
  <c r="Q19" i="4"/>
  <c r="Q6" i="4"/>
  <c r="R16" i="4"/>
  <c r="R8" i="4"/>
  <c r="R15" i="4"/>
  <c r="R6" i="4"/>
  <c r="R14" i="4"/>
  <c r="R19" i="4"/>
  <c r="R9" i="4"/>
  <c r="R7" i="4"/>
  <c r="N11" i="4" l="1"/>
  <c r="N8" i="4"/>
  <c r="N16" i="4"/>
  <c r="N12" i="4"/>
  <c r="N15" i="4"/>
  <c r="N10" i="4"/>
  <c r="N9" i="4"/>
  <c r="N19" i="4"/>
  <c r="N17" i="4"/>
  <c r="N14" i="4"/>
  <c r="N18" i="4"/>
  <c r="N6" i="4"/>
  <c r="N7" i="4"/>
  <c r="N13" i="4"/>
  <c r="L17" i="4"/>
  <c r="L10" i="4"/>
  <c r="L12" i="4"/>
  <c r="L11" i="4"/>
  <c r="L9" i="4"/>
  <c r="L19" i="4"/>
  <c r="L16" i="4"/>
  <c r="L15" i="4"/>
  <c r="L6" i="4"/>
  <c r="L14" i="4"/>
  <c r="L8" i="4"/>
  <c r="L18" i="4"/>
  <c r="L13" i="4"/>
  <c r="Q7" i="4" l="1"/>
  <c r="P16" i="4" l="1"/>
  <c r="Q9" i="4"/>
  <c r="Q15" i="4"/>
  <c r="Q13" i="4"/>
  <c r="Q14" i="4"/>
  <c r="Q16" i="4"/>
  <c r="Q8" i="4"/>
  <c r="O8" i="4" l="1"/>
  <c r="O14" i="4"/>
  <c r="O7" i="4"/>
  <c r="P19" i="4"/>
  <c r="P6" i="4"/>
  <c r="O13" i="4"/>
  <c r="O6" i="4"/>
  <c r="O19" i="4"/>
  <c r="O16" i="4"/>
  <c r="O9" i="4"/>
  <c r="O15" i="4"/>
  <c r="P15" i="4" l="1"/>
  <c r="P8" i="4"/>
  <c r="P9" i="4"/>
  <c r="P13" i="4"/>
  <c r="P14" i="4"/>
  <c r="P7" i="4"/>
</calcChain>
</file>

<file path=xl/sharedStrings.xml><?xml version="1.0" encoding="utf-8"?>
<sst xmlns="http://schemas.openxmlformats.org/spreadsheetml/2006/main" count="71" uniqueCount="61">
  <si>
    <t>Rs. mn</t>
  </si>
  <si>
    <t>Item</t>
  </si>
  <si>
    <t>Demand Deposits</t>
  </si>
  <si>
    <t>Percentage Share</t>
  </si>
  <si>
    <t>Licensed Commercial Banks</t>
  </si>
  <si>
    <t>Savings Deposits</t>
  </si>
  <si>
    <t>Licensed Specialised Banks</t>
  </si>
  <si>
    <t>Co-operative Rural Banks</t>
  </si>
  <si>
    <t>Time Deposits</t>
  </si>
  <si>
    <t>Mobilisation of Deposits by Type of Deposit</t>
  </si>
  <si>
    <r>
      <t>2022</t>
    </r>
    <r>
      <rPr>
        <vertAlign val="superscript"/>
        <sz val="11"/>
        <color rgb="FF2B2A29"/>
        <rFont val="Calibri"/>
        <family val="2"/>
        <scheme val="minor"/>
      </rPr>
      <t>(a)</t>
    </r>
  </si>
  <si>
    <t>Thrift &amp; Credit Co-operative Societies</t>
  </si>
  <si>
    <r>
      <t>2023</t>
    </r>
    <r>
      <rPr>
        <vertAlign val="superscript"/>
        <sz val="11"/>
        <color rgb="FF2B2A29"/>
        <rFont val="Calibri"/>
        <family val="2"/>
        <scheme val="minor"/>
      </rPr>
      <t>(a)</t>
    </r>
  </si>
  <si>
    <t>Sanasa Federation</t>
  </si>
  <si>
    <t>Central Bank of Sri Lanka</t>
  </si>
  <si>
    <t>(d)</t>
  </si>
  <si>
    <t>Provisional</t>
  </si>
  <si>
    <t>(a)</t>
  </si>
  <si>
    <t>(b)</t>
  </si>
  <si>
    <t>Revised</t>
  </si>
  <si>
    <t>(c)</t>
  </si>
  <si>
    <t>Comprises only the data of 423 member societies of SANASA Federation</t>
  </si>
  <si>
    <t>(e)</t>
  </si>
  <si>
    <t>(f)</t>
  </si>
  <si>
    <t>Demand, Savings and Time Deposits of all Institutions.</t>
  </si>
  <si>
    <t>07. FINANCIAL SECTOR PERFORMANCE</t>
  </si>
  <si>
    <t>TABLE 7.4</t>
  </si>
  <si>
    <r>
      <t>As at 31</t>
    </r>
    <r>
      <rPr>
        <vertAlign val="superscript"/>
        <sz val="10"/>
        <rFont val="Calibri"/>
        <family val="2"/>
        <scheme val="minor"/>
      </rPr>
      <t>st</t>
    </r>
    <r>
      <rPr>
        <sz val="10"/>
        <rFont val="Calibri"/>
        <family val="2"/>
        <scheme val="minor"/>
      </rPr>
      <t xml:space="preserve"> March</t>
    </r>
  </si>
  <si>
    <t xml:space="preserve">Sources: </t>
  </si>
  <si>
    <r>
      <t>31,307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</si>
  <si>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40,586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</si>
  <si>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903,767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</si>
  <si>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1,015,860</t>
    </r>
    <r>
      <rPr>
        <vertAlign val="superscript"/>
        <sz val="10"/>
        <color rgb="FF2B2A29"/>
        <rFont val="Calibri"/>
        <family val="2"/>
        <scheme val="minor"/>
      </rPr>
      <t>(c)</t>
    </r>
  </si>
  <si>
    <t>Finance Companies</t>
  </si>
  <si>
    <t>Based on financial information prepared in accordance with Sri Lanka Accounting Standards.</t>
  </si>
  <si>
    <r>
      <t>30,924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</si>
  <si>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15,907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</si>
  <si>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15,149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</si>
  <si>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15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</si>
  <si>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71,407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</si>
  <si>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95,659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</si>
  <si>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15,117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</si>
  <si>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11,343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</si>
  <si>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10,803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</si>
  <si>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259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</si>
  <si>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316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</si>
  <si>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77,700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</si>
  <si>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87,767</t>
    </r>
    <r>
      <rPr>
        <vertAlign val="superscript"/>
        <sz val="10"/>
        <color rgb="FF2B2A29"/>
        <rFont val="Calibri"/>
        <family val="2"/>
        <scheme val="minor"/>
      </rPr>
      <t>(f)</t>
    </r>
  </si>
  <si>
    <t>(g)</t>
  </si>
  <si>
    <r>
      <t>34</t>
    </r>
    <r>
      <rPr>
        <vertAlign val="superscript"/>
        <sz val="10"/>
        <rFont val="Calibri"/>
        <family val="2"/>
        <scheme val="minor"/>
      </rPr>
      <t>(e)</t>
    </r>
  </si>
  <si>
    <r>
      <t>2024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</si>
  <si>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</si>
  <si>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51,977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</si>
  <si>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Total</t>
    </r>
    <r>
      <rPr>
        <b/>
        <vertAlign val="superscript"/>
        <sz val="10"/>
        <color rgb="FF8C2A70"/>
        <rFont val="Calibri"/>
        <family val="2"/>
        <scheme val="minor"/>
      </rPr>
      <t>(g)</t>
    </r>
  </si>
  <si>
    <t>Financial details presented are solely to the Federation but not the combined number of all other members.</t>
  </si>
  <si>
    <r>
      <t>20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</si>
  <si>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18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</si>
  <si>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747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</si>
  <si>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923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</si>
  <si>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1,213,197</t>
    </r>
    <r>
      <rPr>
        <vertAlign val="superscript"/>
        <sz val="10"/>
        <color rgb="FF2B2A29"/>
        <rFont val="Calibri"/>
        <family val="2"/>
        <scheme val="minor"/>
      </rPr>
      <t>(c)</t>
    </r>
  </si>
  <si>
    <t>Co-operative Development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</si>
</sst>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vertAlign val="superscript"/>
      <sz val="10"/>
      <color rgb="FF8C2A7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rgb="FF8C2A7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indent="1"/>
    </xf>
    <xf numFmtId="0" fontId="17" fillId="0" borderId="0" xfId="0" applyFont="1" applyAlignment="1">
      <alignment horizontal="left"/>
    </xf>
    <xf numFmtId="2" fontId="12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8" fillId="3" borderId="0" xfId="0" applyFont="1" applyFill="1" applyAlignment="1">
      <alignment vertical="center"/>
    </xf>
    <xf numFmtId="0" fontId="11" fillId="0" borderId="3" xfId="0" applyFont="1" applyBorder="1" applyAlignment="1">
      <alignment horizontal="left"/>
    </xf>
    <xf numFmtId="3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4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D9CE-02A7-469C-A392-64D11E8DC8EC}">
  <sheetPr codeName="Sheet4">
    <tabColor theme="3"/>
  </sheetPr>
  <dimension ref="A1:R33"/>
  <sheetViews>
    <sheetView tabSelected="1" workbookViewId="0">
      <pane xSplit="2" ySplit="4" topLeftCell="C5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2.85546875" style="11" customWidth="1"/>
    <col min="2" max="2" width="40.5703125" style="12" customWidth="1"/>
    <col min="3" max="10" width="9.7109375" style="12" customWidth="1"/>
    <col min="11" max="17" width="7.85546875" style="12" customWidth="1"/>
    <col min="18" max="18" width="7.85546875" style="11" customWidth="1"/>
    <col min="19" max="16384" width="9.140625" style="11"/>
  </cols>
  <sheetData>
    <row r="1" spans="2:18" customFormat="1" ht="36" customHeight="1" x14ac:dyDescent="0.25">
      <c r="B1" s="6" t="s">
        <v>25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6"/>
      <c r="Q1" s="26"/>
      <c r="R1" s="7" t="s">
        <v>26</v>
      </c>
    </row>
    <row r="2" spans="2:18" s="1" customFormat="1" ht="15" x14ac:dyDescent="0.25">
      <c r="B2" s="32" t="s">
        <v>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customFormat="1" ht="15" x14ac:dyDescent="0.25">
      <c r="B3" s="33" t="s">
        <v>1</v>
      </c>
      <c r="C3" s="33" t="s">
        <v>0</v>
      </c>
      <c r="D3" s="33"/>
      <c r="E3" s="33"/>
      <c r="F3" s="33"/>
      <c r="G3" s="33"/>
      <c r="H3" s="33"/>
      <c r="I3" s="33"/>
      <c r="J3" s="35"/>
      <c r="K3" s="34" t="s">
        <v>3</v>
      </c>
      <c r="L3" s="33"/>
      <c r="M3" s="33"/>
      <c r="N3" s="33"/>
      <c r="O3" s="33"/>
      <c r="P3" s="33"/>
      <c r="Q3" s="33"/>
      <c r="R3" s="33"/>
    </row>
    <row r="4" spans="2:18" s="2" customFormat="1" ht="17.25" x14ac:dyDescent="0.25">
      <c r="B4" s="33"/>
      <c r="C4" s="4">
        <v>2018</v>
      </c>
      <c r="D4" s="4">
        <v>2019</v>
      </c>
      <c r="E4" s="4">
        <v>2020</v>
      </c>
      <c r="F4" s="4">
        <v>2021</v>
      </c>
      <c r="G4" s="3" t="s">
        <v>10</v>
      </c>
      <c r="H4" s="3" t="s">
        <v>12</v>
      </c>
      <c r="I4" s="3" t="s">
        <v>50</v>
      </c>
      <c r="J4" s="3" t="s">
        <v>51</v>
      </c>
      <c r="K4" s="25">
        <v>2018</v>
      </c>
      <c r="L4" s="4">
        <v>2019</v>
      </c>
      <c r="M4" s="4">
        <v>2020</v>
      </c>
      <c r="N4" s="3">
        <v>2021</v>
      </c>
      <c r="O4" s="3" t="s">
        <v>10</v>
      </c>
      <c r="P4" s="3" t="s">
        <v>12</v>
      </c>
      <c r="Q4" s="3" t="s">
        <v>50</v>
      </c>
      <c r="R4" s="3" t="s">
        <v>51</v>
      </c>
    </row>
    <row r="5" spans="2:18" s="9" customFormat="1" x14ac:dyDescent="0.2">
      <c r="B5" s="27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2:18" s="9" customFormat="1" x14ac:dyDescent="0.2">
      <c r="B6" s="20" t="s">
        <v>4</v>
      </c>
      <c r="C6" s="13">
        <v>543966</v>
      </c>
      <c r="D6" s="13">
        <v>528752</v>
      </c>
      <c r="E6" s="13">
        <v>696902</v>
      </c>
      <c r="F6" s="13">
        <v>889166</v>
      </c>
      <c r="G6" s="13">
        <v>1064037.0160000001</v>
      </c>
      <c r="H6" s="13">
        <v>1082481.4029999999</v>
      </c>
      <c r="I6" s="13">
        <v>1109543.878</v>
      </c>
      <c r="J6" s="13">
        <v>1347586.59</v>
      </c>
      <c r="K6" s="22">
        <f t="shared" ref="K6:N9" si="0">C6/C$19*100</f>
        <v>5.9519783194392275</v>
      </c>
      <c r="L6" s="22">
        <f t="shared" si="0"/>
        <v>5.3425860342550671</v>
      </c>
      <c r="M6" s="22">
        <f t="shared" si="0"/>
        <v>5.9089456890680836</v>
      </c>
      <c r="N6" s="22">
        <f t="shared" si="0"/>
        <v>6.6850555327415604</v>
      </c>
      <c r="O6" s="22">
        <f>G6/G$19*100</f>
        <v>6.5568189239323615</v>
      </c>
      <c r="P6" s="22">
        <f>H6/H$19*100</f>
        <v>6.5090307789768209</v>
      </c>
      <c r="Q6" s="22">
        <f>I6/I$19*100</f>
        <v>5.8232939403119239</v>
      </c>
      <c r="R6" s="22">
        <f>J6/J$19*100</f>
        <v>6.3768824357428571</v>
      </c>
    </row>
    <row r="7" spans="2:18" s="9" customFormat="1" x14ac:dyDescent="0.2">
      <c r="B7" s="27" t="s">
        <v>5</v>
      </c>
      <c r="C7" s="13">
        <f>SUM(C8:C12)</f>
        <v>2269487</v>
      </c>
      <c r="D7" s="13">
        <f>SUM(D8:D10,D12,30924)</f>
        <v>2475910</v>
      </c>
      <c r="E7" s="13">
        <f>SUM(E8:E10,15907,71407)</f>
        <v>3274510</v>
      </c>
      <c r="F7" s="13">
        <f>SUM(F8:F10,15149,95659)</f>
        <v>3891888</v>
      </c>
      <c r="G7" s="13">
        <f>SUM(G8:G10,15,G12)</f>
        <v>3821009.7489999998</v>
      </c>
      <c r="H7" s="13">
        <f>H8+H9+H12+31307+34</f>
        <v>4389648.8650000002</v>
      </c>
      <c r="I7" s="13">
        <f>I8+I9+I12+40586+20</f>
        <v>4618201.0070000002</v>
      </c>
      <c r="J7" s="13">
        <f>J8+J9+J12+51977+18</f>
        <v>5379677.4979999997</v>
      </c>
      <c r="K7" s="22">
        <f t="shared" si="0"/>
        <v>24.832319336593049</v>
      </c>
      <c r="L7" s="22">
        <f t="shared" si="0"/>
        <v>25.01694970056371</v>
      </c>
      <c r="M7" s="22">
        <f t="shared" si="0"/>
        <v>27.764164471203024</v>
      </c>
      <c r="N7" s="22">
        <f t="shared" si="0"/>
        <v>29.26055135622649</v>
      </c>
      <c r="O7" s="22">
        <f t="shared" ref="O7:R19" si="1">G7/G$19*100</f>
        <v>23.54586227174379</v>
      </c>
      <c r="P7" s="22">
        <f t="shared" si="1"/>
        <v>26.395242903942684</v>
      </c>
      <c r="Q7" s="22">
        <f t="shared" si="1"/>
        <v>24.238015703967974</v>
      </c>
      <c r="R7" s="22">
        <f t="shared" si="1"/>
        <v>25.457043874974506</v>
      </c>
    </row>
    <row r="8" spans="2:18" x14ac:dyDescent="0.2">
      <c r="B8" s="16" t="s">
        <v>4</v>
      </c>
      <c r="C8" s="15">
        <v>1909489</v>
      </c>
      <c r="D8" s="15">
        <v>2055438</v>
      </c>
      <c r="E8" s="15">
        <v>2785439</v>
      </c>
      <c r="F8" s="15">
        <v>3324449</v>
      </c>
      <c r="G8" s="15">
        <v>3351621.8130000001</v>
      </c>
      <c r="H8" s="15">
        <v>3916558.74</v>
      </c>
      <c r="I8" s="15">
        <v>4081027.662</v>
      </c>
      <c r="J8" s="15">
        <v>4770195.1969999997</v>
      </c>
      <c r="K8" s="23">
        <f t="shared" si="0"/>
        <v>20.893285847291356</v>
      </c>
      <c r="L8" s="23">
        <f t="shared" si="0"/>
        <v>20.768440314319694</v>
      </c>
      <c r="M8" s="23">
        <f t="shared" si="0"/>
        <v>23.617392074082314</v>
      </c>
      <c r="N8" s="23">
        <f t="shared" si="0"/>
        <v>24.994349964761522</v>
      </c>
      <c r="O8" s="23">
        <f t="shared" si="1"/>
        <v>20.653395510577699</v>
      </c>
      <c r="P8" s="23">
        <f t="shared" si="1"/>
        <v>23.550521344458311</v>
      </c>
      <c r="Q8" s="23">
        <f t="shared" si="1"/>
        <v>21.418732621198728</v>
      </c>
      <c r="R8" s="23">
        <f t="shared" si="1"/>
        <v>22.572927181483927</v>
      </c>
    </row>
    <row r="9" spans="2:18" x14ac:dyDescent="0.2">
      <c r="B9" s="16" t="s">
        <v>6</v>
      </c>
      <c r="C9" s="15">
        <v>261297</v>
      </c>
      <c r="D9" s="15">
        <v>288689</v>
      </c>
      <c r="E9" s="15">
        <v>364424</v>
      </c>
      <c r="F9" s="15">
        <v>418259</v>
      </c>
      <c r="G9" s="15">
        <v>354946.93599999999</v>
      </c>
      <c r="H9" s="15">
        <v>375926.96500000003</v>
      </c>
      <c r="I9" s="15">
        <v>421629.60499999998</v>
      </c>
      <c r="J9" s="15">
        <v>473437.72100000002</v>
      </c>
      <c r="K9" s="23">
        <f t="shared" si="0"/>
        <v>2.8590648660660993</v>
      </c>
      <c r="L9" s="23">
        <f t="shared" si="0"/>
        <v>2.9169550557597157</v>
      </c>
      <c r="M9" s="23">
        <f t="shared" si="0"/>
        <v>3.0899059319573587</v>
      </c>
      <c r="N9" s="23">
        <f t="shared" si="0"/>
        <v>3.1446148886360388</v>
      </c>
      <c r="O9" s="23">
        <f t="shared" si="1"/>
        <v>2.1872573528556725</v>
      </c>
      <c r="P9" s="23">
        <f t="shared" si="1"/>
        <v>2.2604731860066352</v>
      </c>
      <c r="Q9" s="23">
        <f t="shared" si="1"/>
        <v>2.2128670821728513</v>
      </c>
      <c r="R9" s="23">
        <f t="shared" si="1"/>
        <v>2.2403433737516099</v>
      </c>
    </row>
    <row r="10" spans="2:18" ht="15" x14ac:dyDescent="0.2">
      <c r="B10" s="16" t="s">
        <v>33</v>
      </c>
      <c r="C10" s="15">
        <v>34601</v>
      </c>
      <c r="D10" s="15">
        <v>33528</v>
      </c>
      <c r="E10" s="15">
        <v>37333</v>
      </c>
      <c r="F10" s="15">
        <v>38372</v>
      </c>
      <c r="G10" s="15">
        <v>34261</v>
      </c>
      <c r="H10" s="15" t="s">
        <v>29</v>
      </c>
      <c r="I10" s="15" t="s">
        <v>30</v>
      </c>
      <c r="J10" s="15" t="s">
        <v>52</v>
      </c>
      <c r="K10" s="23">
        <f>C10/C$19*100</f>
        <v>0.3785979304421907</v>
      </c>
      <c r="L10" s="23">
        <f>D10/D$19*100</f>
        <v>0.33877172011926926</v>
      </c>
      <c r="M10" s="23">
        <f>E10/E$19*100</f>
        <v>0.31654188022129187</v>
      </c>
      <c r="N10" s="23">
        <f>F10/F$19*100</f>
        <v>0.28849388179750363</v>
      </c>
      <c r="O10" s="23">
        <f>G10/G$19*100</f>
        <v>0.21112345696143209</v>
      </c>
      <c r="P10" s="23">
        <f>31307/H$19*100</f>
        <v>0.18825101847724524</v>
      </c>
      <c r="Q10" s="23">
        <f>40586/I$19*100</f>
        <v>0.21301024010652037</v>
      </c>
      <c r="R10" s="23">
        <f>51977/J$19*100</f>
        <v>0.24595912486974694</v>
      </c>
    </row>
    <row r="11" spans="2:18" ht="15" x14ac:dyDescent="0.2">
      <c r="B11" s="16" t="s">
        <v>11</v>
      </c>
      <c r="C11" s="15">
        <v>12145</v>
      </c>
      <c r="D11" s="18" t="s">
        <v>35</v>
      </c>
      <c r="E11" s="18" t="s">
        <v>36</v>
      </c>
      <c r="F11" s="18" t="s">
        <v>37</v>
      </c>
      <c r="G11" s="15" t="s">
        <v>38</v>
      </c>
      <c r="H11" s="15" t="s">
        <v>49</v>
      </c>
      <c r="I11" s="15" t="s">
        <v>55</v>
      </c>
      <c r="J11" s="15" t="s">
        <v>56</v>
      </c>
      <c r="K11" s="23">
        <f>C11/C$19*100</f>
        <v>0.13288840973441246</v>
      </c>
      <c r="L11" s="23">
        <f>30924/D$19*100</f>
        <v>0.31246053068981999</v>
      </c>
      <c r="M11" s="23">
        <f>15907/E$19*100</f>
        <v>0.13487348160287385</v>
      </c>
      <c r="N11" s="23">
        <f>15149/F$19*100</f>
        <v>0.11389538766158611</v>
      </c>
      <c r="O11" s="23">
        <f>15/G$19*100</f>
        <v>9.2433141309987489E-5</v>
      </c>
      <c r="P11" s="23">
        <f>34/H$19*100</f>
        <v>2.0444420187901548E-4</v>
      </c>
      <c r="Q11" s="23">
        <f>20/I$19*100</f>
        <v>1.0496734839921173E-4</v>
      </c>
      <c r="R11" s="23">
        <f>18/J$19*100</f>
        <v>8.5177371677000308E-5</v>
      </c>
    </row>
    <row r="12" spans="2:18" ht="15" x14ac:dyDescent="0.2">
      <c r="B12" s="16" t="s">
        <v>7</v>
      </c>
      <c r="C12" s="15">
        <v>51955</v>
      </c>
      <c r="D12" s="15">
        <v>67331</v>
      </c>
      <c r="E12" s="18" t="s">
        <v>39</v>
      </c>
      <c r="F12" s="18" t="s">
        <v>40</v>
      </c>
      <c r="G12" s="15">
        <v>80165</v>
      </c>
      <c r="H12" s="15">
        <v>65822.16</v>
      </c>
      <c r="I12" s="15">
        <v>74937.740000000005</v>
      </c>
      <c r="J12" s="15">
        <v>84049.58</v>
      </c>
      <c r="K12" s="23">
        <f>C12/C$19*100</f>
        <v>0.56848228305898718</v>
      </c>
      <c r="L12" s="23">
        <f>D12/D$19*100</f>
        <v>0.68032207967521241</v>
      </c>
      <c r="M12" s="23">
        <f>71407/E$19*100</f>
        <v>0.60545110333918484</v>
      </c>
      <c r="N12" s="23">
        <f>95659/F$19*100</f>
        <v>0.71919723336983743</v>
      </c>
      <c r="O12" s="23">
        <f>G12/G$19*100</f>
        <v>0.49399351820767656</v>
      </c>
      <c r="P12" s="23">
        <f>H12/H$19*100</f>
        <v>0.39579291079861345</v>
      </c>
      <c r="Q12" s="23">
        <f>I12/I$19*100</f>
        <v>0.39330079314147731</v>
      </c>
      <c r="R12" s="23">
        <f>J12/J$19*100</f>
        <v>0.39772901749754286</v>
      </c>
    </row>
    <row r="13" spans="2:18" s="9" customFormat="1" x14ac:dyDescent="0.2">
      <c r="B13" s="27" t="s">
        <v>8</v>
      </c>
      <c r="C13" s="13">
        <f>SUM(C14:C18)</f>
        <v>6325794</v>
      </c>
      <c r="D13" s="13">
        <f>SUM(D14:D16,15117,D18)</f>
        <v>6892268</v>
      </c>
      <c r="E13" s="13">
        <f>SUM(E14:E16,11343,77700)</f>
        <v>7822604</v>
      </c>
      <c r="F13" s="13">
        <f>SUM(F14:F16,10803,87767)</f>
        <v>8519748</v>
      </c>
      <c r="G13" s="13">
        <f>SUM(G14:G16,G18,259)</f>
        <v>11342898.956</v>
      </c>
      <c r="H13" s="13">
        <f>SUM(H14:H16,H18,316)</f>
        <v>11158324.245999999</v>
      </c>
      <c r="I13" s="13">
        <f>I14+I15+I18+1015860+747</f>
        <v>13325799.197999999</v>
      </c>
      <c r="J13" s="13">
        <f>J14+J15+J18+1213197+923</f>
        <v>14405109.036</v>
      </c>
      <c r="K13" s="22">
        <f t="shared" ref="K13:K16" si="2">C13/C$19*100</f>
        <v>69.21570234396772</v>
      </c>
      <c r="L13" s="22">
        <f t="shared" ref="L13:L16" si="3">D13/D$19*100</f>
        <v>69.640464265181222</v>
      </c>
      <c r="M13" s="22">
        <f t="shared" ref="M13:M16" si="4">E13/E$19*100</f>
        <v>66.326889839728892</v>
      </c>
      <c r="N13" s="22">
        <f t="shared" ref="N13:N16" si="5">F13/F$19*100</f>
        <v>64.054393111031942</v>
      </c>
      <c r="O13" s="22">
        <f t="shared" si="1"/>
        <v>69.897318804323845</v>
      </c>
      <c r="P13" s="22">
        <f t="shared" si="1"/>
        <v>67.095726317080505</v>
      </c>
      <c r="Q13" s="22">
        <f t="shared" si="1"/>
        <v>69.938690355720112</v>
      </c>
      <c r="R13" s="22">
        <f>J13/J$19*100</f>
        <v>68.166073689282641</v>
      </c>
    </row>
    <row r="14" spans="2:18" x14ac:dyDescent="0.2">
      <c r="B14" s="16" t="s">
        <v>4</v>
      </c>
      <c r="C14" s="15">
        <v>4751133</v>
      </c>
      <c r="D14" s="15">
        <v>5114557</v>
      </c>
      <c r="E14" s="15">
        <v>5846390</v>
      </c>
      <c r="F14" s="15">
        <v>6345869</v>
      </c>
      <c r="G14" s="15">
        <v>8868852.352</v>
      </c>
      <c r="H14" s="15">
        <v>9510765.4969999995</v>
      </c>
      <c r="I14" s="15">
        <v>10567059.305</v>
      </c>
      <c r="J14" s="15">
        <v>11424122.948000001</v>
      </c>
      <c r="K14" s="23">
        <f t="shared" si="2"/>
        <v>51.986044364486482</v>
      </c>
      <c r="L14" s="23">
        <f t="shared" si="3"/>
        <v>51.67821738660372</v>
      </c>
      <c r="M14" s="23">
        <f t="shared" si="4"/>
        <v>49.57081625122435</v>
      </c>
      <c r="N14" s="23">
        <f t="shared" si="5"/>
        <v>47.710423777453421</v>
      </c>
      <c r="O14" s="23">
        <f t="shared" si="1"/>
        <v>54.651725513988737</v>
      </c>
      <c r="P14" s="23">
        <f t="shared" si="1"/>
        <v>57.188848861548323</v>
      </c>
      <c r="Q14" s="23">
        <f t="shared" si="1"/>
        <v>55.459809781153361</v>
      </c>
      <c r="R14" s="23">
        <f t="shared" si="1"/>
        <v>54.059820356974697</v>
      </c>
    </row>
    <row r="15" spans="2:18" x14ac:dyDescent="0.2">
      <c r="B15" s="16" t="s">
        <v>6</v>
      </c>
      <c r="C15" s="15">
        <v>813792</v>
      </c>
      <c r="D15" s="15">
        <v>977988</v>
      </c>
      <c r="E15" s="15">
        <v>1175927</v>
      </c>
      <c r="F15" s="15">
        <v>1330396</v>
      </c>
      <c r="G15" s="15">
        <v>1526496.6040000001</v>
      </c>
      <c r="H15" s="15">
        <v>1535030.659</v>
      </c>
      <c r="I15" s="15">
        <v>1588744.5430000001</v>
      </c>
      <c r="J15" s="15">
        <v>1617440.0179999999</v>
      </c>
      <c r="K15" s="23">
        <f t="shared" si="2"/>
        <v>8.9043659723826263</v>
      </c>
      <c r="L15" s="23">
        <f t="shared" si="3"/>
        <v>9.8817310014317563</v>
      </c>
      <c r="M15" s="23">
        <f t="shared" si="4"/>
        <v>9.9705392972164866</v>
      </c>
      <c r="N15" s="23">
        <f t="shared" si="5"/>
        <v>10.002374292918576</v>
      </c>
      <c r="O15" s="23">
        <f t="shared" si="1"/>
        <v>9.4065917537832018</v>
      </c>
      <c r="P15" s="23">
        <f t="shared" si="1"/>
        <v>9.2302387629139471</v>
      </c>
      <c r="Q15" s="23">
        <f t="shared" si="1"/>
        <v>8.3383150981213721</v>
      </c>
      <c r="R15" s="23">
        <f t="shared" si="1"/>
        <v>7.6538494210244483</v>
      </c>
    </row>
    <row r="16" spans="2:18" ht="15" x14ac:dyDescent="0.2">
      <c r="B16" s="16" t="s">
        <v>33</v>
      </c>
      <c r="C16" s="15">
        <v>682247</v>
      </c>
      <c r="D16" s="15">
        <v>723159</v>
      </c>
      <c r="E16" s="15">
        <v>711244</v>
      </c>
      <c r="F16" s="15">
        <v>744913</v>
      </c>
      <c r="G16" s="15">
        <v>830208</v>
      </c>
      <c r="H16" s="15" t="s">
        <v>31</v>
      </c>
      <c r="I16" s="15" t="s">
        <v>32</v>
      </c>
      <c r="J16" s="15" t="s">
        <v>59</v>
      </c>
      <c r="K16" s="23">
        <f t="shared" si="2"/>
        <v>7.4650241972889013</v>
      </c>
      <c r="L16" s="23">
        <f t="shared" si="3"/>
        <v>7.3069022414021312</v>
      </c>
      <c r="M16" s="23">
        <f t="shared" si="4"/>
        <v>6.0305497296255997</v>
      </c>
      <c r="N16" s="23">
        <f t="shared" si="5"/>
        <v>5.6005119089811277</v>
      </c>
      <c r="O16" s="23">
        <f t="shared" si="1"/>
        <v>5.1159155587121399</v>
      </c>
      <c r="P16" s="23">
        <f>903767/H$19*100</f>
        <v>5.4344094999880053</v>
      </c>
      <c r="Q16" s="23">
        <f>1015860/I$19*100</f>
        <v>5.3316065272411617</v>
      </c>
      <c r="R16" s="23">
        <f>1015860/J$19*100</f>
        <v>4.8071269328776411</v>
      </c>
    </row>
    <row r="17" spans="1:18" ht="15" x14ac:dyDescent="0.2">
      <c r="B17" s="16" t="s">
        <v>11</v>
      </c>
      <c r="C17" s="15">
        <v>5937</v>
      </c>
      <c r="D17" s="18" t="s">
        <v>41</v>
      </c>
      <c r="E17" s="18" t="s">
        <v>42</v>
      </c>
      <c r="F17" s="18" t="s">
        <v>43</v>
      </c>
      <c r="G17" s="15" t="s">
        <v>44</v>
      </c>
      <c r="H17" s="18" t="s">
        <v>45</v>
      </c>
      <c r="I17" s="18" t="s">
        <v>57</v>
      </c>
      <c r="J17" s="18" t="s">
        <v>58</v>
      </c>
      <c r="K17" s="23">
        <f>C17/C$19*100</f>
        <v>6.4961588192112535E-2</v>
      </c>
      <c r="L17" s="23">
        <f>15117/D$19*100</f>
        <v>0.15274433586981012</v>
      </c>
      <c r="M17" s="23">
        <f>11343/E$19*100</f>
        <v>9.6175891231621194E-2</v>
      </c>
      <c r="N17" s="23">
        <f>10803/F$19*100</f>
        <v>8.1220666242531839E-2</v>
      </c>
      <c r="O17" s="23">
        <f>259/G$19*100</f>
        <v>1.5960122399524507E-3</v>
      </c>
      <c r="P17" s="23">
        <f>316/H$19*100</f>
        <v>1.9001284645226144E-3</v>
      </c>
      <c r="Q17" s="23">
        <f>747/I$19*100</f>
        <v>3.9205304627105584E-3</v>
      </c>
      <c r="R17" s="23">
        <f>923/J$19*100</f>
        <v>4.3677063365484044E-3</v>
      </c>
    </row>
    <row r="18" spans="1:18" ht="15" x14ac:dyDescent="0.2">
      <c r="B18" s="16" t="s">
        <v>7</v>
      </c>
      <c r="C18" s="15">
        <v>72685</v>
      </c>
      <c r="D18" s="15">
        <v>61447</v>
      </c>
      <c r="E18" s="18" t="s">
        <v>46</v>
      </c>
      <c r="F18" s="18" t="s">
        <v>47</v>
      </c>
      <c r="G18" s="15">
        <v>117083</v>
      </c>
      <c r="H18" s="15">
        <v>112212.09</v>
      </c>
      <c r="I18" s="15">
        <v>153388.35</v>
      </c>
      <c r="J18" s="15">
        <v>149426.07</v>
      </c>
      <c r="K18" s="23">
        <f>C18/C$19*100</f>
        <v>0.79530622161760145</v>
      </c>
      <c r="L18" s="23">
        <f>D18/D$19*100</f>
        <v>0.62086929987379924</v>
      </c>
      <c r="M18" s="23">
        <f>77700/E$19*100</f>
        <v>0.65880867043083546</v>
      </c>
      <c r="N18" s="23">
        <f>87767/F$19*100</f>
        <v>0.65986246543629479</v>
      </c>
      <c r="O18" s="23">
        <f>G18/G$19*100</f>
        <v>0.72148996559981771</v>
      </c>
      <c r="P18" s="23">
        <f>H18/H$19*100</f>
        <v>0.67473856415371336</v>
      </c>
      <c r="Q18" s="23">
        <f>I18/I$19*100</f>
        <v>0.8050384187415115</v>
      </c>
      <c r="R18" s="23">
        <f>J18/J$19*100</f>
        <v>0.70709555014574821</v>
      </c>
    </row>
    <row r="19" spans="1:18" s="9" customFormat="1" ht="15" x14ac:dyDescent="0.2">
      <c r="B19" s="27" t="s">
        <v>53</v>
      </c>
      <c r="C19" s="28">
        <f>C13+C7+C6</f>
        <v>9139247</v>
      </c>
      <c r="D19" s="28">
        <f t="shared" ref="D19:F19" si="6">D13+D7+D6</f>
        <v>9896930</v>
      </c>
      <c r="E19" s="28">
        <f t="shared" si="6"/>
        <v>11794016</v>
      </c>
      <c r="F19" s="28">
        <f t="shared" si="6"/>
        <v>13300802</v>
      </c>
      <c r="G19" s="28">
        <f>G13+G7+G6</f>
        <v>16227945.721000001</v>
      </c>
      <c r="H19" s="28">
        <f>H13+H7+H6</f>
        <v>16630454.513999999</v>
      </c>
      <c r="I19" s="28">
        <f>+I6+I7+I13</f>
        <v>19053544.082999997</v>
      </c>
      <c r="J19" s="28">
        <f>+J6+J7+J13</f>
        <v>21132373.123999998</v>
      </c>
      <c r="K19" s="29">
        <f t="shared" ref="K19" si="7">C19/C$19*100</f>
        <v>100</v>
      </c>
      <c r="L19" s="29">
        <f t="shared" ref="L19" si="8">D19/D$19*100</f>
        <v>100</v>
      </c>
      <c r="M19" s="29">
        <f t="shared" ref="M19" si="9">E19/E$19*100</f>
        <v>100</v>
      </c>
      <c r="N19" s="29">
        <f t="shared" ref="N19" si="10">F19/F$19*100</f>
        <v>100</v>
      </c>
      <c r="O19" s="29">
        <f t="shared" si="1"/>
        <v>100</v>
      </c>
      <c r="P19" s="29">
        <f t="shared" si="1"/>
        <v>100</v>
      </c>
      <c r="Q19" s="29">
        <f>I19/I$19*100</f>
        <v>100</v>
      </c>
      <c r="R19" s="29">
        <f>J19/J$19*100</f>
        <v>100</v>
      </c>
    </row>
    <row r="20" spans="1:18" x14ac:dyDescent="0.2">
      <c r="B20" s="21"/>
      <c r="C20" s="15"/>
      <c r="D20" s="15"/>
      <c r="E20" s="15"/>
      <c r="F20" s="15"/>
      <c r="G20" s="15"/>
      <c r="H20" s="15"/>
      <c r="I20" s="15"/>
      <c r="J20" s="15"/>
      <c r="K20" s="23"/>
      <c r="L20" s="23"/>
      <c r="M20" s="23"/>
      <c r="N20" s="23"/>
      <c r="O20" s="23"/>
      <c r="P20" s="10"/>
      <c r="Q20" s="10"/>
    </row>
    <row r="21" spans="1:18" x14ac:dyDescent="0.2">
      <c r="A21" s="14" t="s">
        <v>17</v>
      </c>
      <c r="B21" s="12" t="s">
        <v>19</v>
      </c>
      <c r="F21" s="24"/>
      <c r="G21" s="24"/>
    </row>
    <row r="22" spans="1:18" x14ac:dyDescent="0.2">
      <c r="A22" s="14" t="s">
        <v>18</v>
      </c>
      <c r="B22" s="12" t="s">
        <v>16</v>
      </c>
    </row>
    <row r="23" spans="1:18" x14ac:dyDescent="0.2">
      <c r="A23" s="14" t="s">
        <v>20</v>
      </c>
      <c r="B23" s="12" t="s">
        <v>34</v>
      </c>
    </row>
    <row r="24" spans="1:18" x14ac:dyDescent="0.2">
      <c r="A24" s="14" t="s">
        <v>15</v>
      </c>
      <c r="B24" s="12" t="s">
        <v>21</v>
      </c>
    </row>
    <row r="25" spans="1:18" x14ac:dyDescent="0.2">
      <c r="A25" s="14" t="s">
        <v>22</v>
      </c>
      <c r="B25" s="12" t="s">
        <v>54</v>
      </c>
      <c r="I25" s="30"/>
      <c r="J25" s="30"/>
    </row>
    <row r="26" spans="1:18" ht="14.25" customHeight="1" x14ac:dyDescent="0.2">
      <c r="A26" s="14" t="s">
        <v>23</v>
      </c>
      <c r="B26" s="12" t="s">
        <v>27</v>
      </c>
      <c r="G26" s="24"/>
      <c r="I26" s="31"/>
      <c r="J26" s="31"/>
    </row>
    <row r="27" spans="1:18" x14ac:dyDescent="0.2">
      <c r="A27" s="14" t="s">
        <v>48</v>
      </c>
      <c r="B27" s="12" t="s">
        <v>24</v>
      </c>
    </row>
    <row r="28" spans="1:18" x14ac:dyDescent="0.2">
      <c r="A28" s="14"/>
    </row>
    <row r="29" spans="1:18" x14ac:dyDescent="0.2">
      <c r="A29" s="17" t="s">
        <v>28</v>
      </c>
    </row>
    <row r="30" spans="1:18" x14ac:dyDescent="0.2">
      <c r="A30" s="14" t="s">
        <v>14</v>
      </c>
    </row>
    <row r="31" spans="1:18" x14ac:dyDescent="0.2">
      <c r="A31" s="14" t="s">
        <v>60</v>
      </c>
    </row>
    <row r="32" spans="1:18" x14ac:dyDescent="0.2">
      <c r="A32" s="14" t="s">
        <v>13</v>
      </c>
    </row>
    <row r="33" spans="2:2" x14ac:dyDescent="0.2">
      <c r="B33" s="19"/>
    </row>
  </sheetData>
  <mergeCells count="4">
    <mergeCell ref="B3:B4"/>
    <mergeCell ref="K3:R3"/>
    <mergeCell ref="B2:R2"/>
    <mergeCell ref="C3:J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ignoredErrors>
    <ignoredError sqref="L11:O12 L17:O17" formula="1"/>
    <ignoredError sqref="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7.4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